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dmioty Gospodarcze\Podmioty obsługiwane\Samorządy\Strzyżewice\2020\ZapytaniaOfertyAnalizy\Przetarg\SIWZ\"/>
    </mc:Choice>
  </mc:AlternateContent>
  <bookViews>
    <workbookView xWindow="0" yWindow="0" windowWidth="7710" windowHeight="6765"/>
  </bookViews>
  <sheets>
    <sheet name="Ogień " sheetId="1" r:id="rId1"/>
    <sheet name="Elektronika " sheetId="2" r:id="rId2"/>
    <sheet name="Zabezpieczenia" sheetId="3" r:id="rId3"/>
    <sheet name="Komunikacja" sheetId="5" r:id="rId4"/>
  </sheets>
  <calcPr calcId="152511"/>
</workbook>
</file>

<file path=xl/calcChain.xml><?xml version="1.0" encoding="utf-8"?>
<calcChain xmlns="http://schemas.openxmlformats.org/spreadsheetml/2006/main">
  <c r="D7" i="2" l="1"/>
  <c r="D3" i="2"/>
  <c r="P102" i="1" l="1"/>
  <c r="P103" i="1"/>
  <c r="D4" i="2" l="1"/>
  <c r="D58" i="2" l="1"/>
  <c r="D57" i="2"/>
  <c r="D54" i="2"/>
  <c r="D53" i="2"/>
  <c r="L32" i="1" l="1"/>
  <c r="L92" i="1" l="1"/>
  <c r="L93" i="1"/>
  <c r="L95" i="1"/>
  <c r="L96" i="1"/>
  <c r="L97" i="1"/>
  <c r="P88" i="1"/>
  <c r="L88" i="1" s="1"/>
  <c r="L50" i="1"/>
  <c r="L45" i="1"/>
  <c r="L46" i="1"/>
  <c r="L47" i="1"/>
  <c r="L48" i="1"/>
  <c r="L49" i="1"/>
  <c r="E39" i="1"/>
  <c r="L38" i="1"/>
  <c r="L39" i="1"/>
  <c r="L40" i="1"/>
  <c r="L41" i="1"/>
  <c r="L37" i="1"/>
  <c r="L34" i="1"/>
  <c r="L35" i="1"/>
  <c r="L36" i="1"/>
  <c r="L28" i="1"/>
  <c r="P6" i="1"/>
  <c r="Q2" i="5" l="1"/>
  <c r="O25" i="5"/>
  <c r="Q20" i="5"/>
  <c r="Q17" i="5"/>
  <c r="P3" i="5"/>
  <c r="P5" i="5"/>
  <c r="P6" i="5"/>
  <c r="P7" i="5"/>
  <c r="P8" i="5"/>
  <c r="P9" i="5"/>
  <c r="P10" i="5"/>
  <c r="P11" i="5"/>
  <c r="P12" i="5"/>
  <c r="P13" i="5"/>
  <c r="P14" i="5"/>
  <c r="P16" i="5"/>
  <c r="P17" i="5"/>
  <c r="P18" i="5"/>
  <c r="P19" i="5"/>
  <c r="P20" i="5"/>
  <c r="P21" i="5"/>
  <c r="P22" i="5"/>
  <c r="P23" i="5"/>
  <c r="P24" i="5"/>
  <c r="P2" i="5"/>
  <c r="P25" i="5" l="1"/>
  <c r="Q25" i="5"/>
  <c r="D64" i="2"/>
  <c r="P145" i="1"/>
  <c r="D63" i="2"/>
  <c r="D62" i="2"/>
  <c r="D61" i="2"/>
  <c r="P146" i="1"/>
  <c r="P142" i="1"/>
  <c r="L111" i="1"/>
  <c r="P118" i="1"/>
  <c r="P116" i="1"/>
  <c r="L116" i="1" s="1"/>
  <c r="D31" i="2"/>
  <c r="D34" i="2"/>
  <c r="P117" i="1"/>
  <c r="D50" i="2"/>
  <c r="P129" i="1"/>
  <c r="P130" i="1"/>
  <c r="D49" i="2"/>
  <c r="D45" i="2"/>
  <c r="D37" i="2"/>
  <c r="L129" i="1"/>
  <c r="D42" i="2"/>
  <c r="P124" i="1"/>
  <c r="D39" i="2"/>
  <c r="P123" i="1"/>
  <c r="L122" i="1"/>
  <c r="L120" i="1"/>
  <c r="D28" i="2"/>
  <c r="D27" i="2"/>
  <c r="D26" i="2"/>
  <c r="P112" i="1"/>
  <c r="P109" i="1"/>
  <c r="P28" i="5" l="1"/>
  <c r="D23" i="2"/>
  <c r="D20" i="2"/>
  <c r="P110" i="1"/>
  <c r="L110" i="1" s="1"/>
  <c r="L109" i="1"/>
  <c r="D10" i="2" l="1"/>
  <c r="D12" i="2"/>
  <c r="P106" i="1" l="1"/>
  <c r="L106" i="1" s="1"/>
  <c r="P105" i="1"/>
  <c r="L105" i="1" s="1"/>
  <c r="P104" i="1"/>
  <c r="L104" i="1" s="1"/>
  <c r="L143" i="1" l="1"/>
  <c r="L145" i="1"/>
  <c r="L141" i="1"/>
  <c r="L123" i="1"/>
  <c r="L117" i="1"/>
  <c r="L102" i="1"/>
  <c r="L100" i="1"/>
  <c r="L90" i="1"/>
  <c r="L126" i="1" l="1"/>
  <c r="L127" i="1"/>
  <c r="L103" i="1"/>
  <c r="O26" i="1"/>
  <c r="L26" i="1" s="1"/>
  <c r="O25" i="1"/>
  <c r="L25" i="1" s="1"/>
  <c r="O24" i="1"/>
  <c r="L24" i="1" s="1"/>
  <c r="O23" i="1"/>
  <c r="L23" i="1" s="1"/>
  <c r="O22" i="1"/>
  <c r="L22" i="1" s="1"/>
  <c r="O21" i="1"/>
  <c r="L21" i="1" s="1"/>
  <c r="O20" i="1"/>
  <c r="L20" i="1" s="1"/>
  <c r="O19" i="1"/>
  <c r="L19" i="1" s="1"/>
  <c r="O18" i="1"/>
  <c r="L18" i="1" s="1"/>
  <c r="O17" i="1"/>
  <c r="L17" i="1" s="1"/>
  <c r="O15" i="1"/>
  <c r="L15" i="1" s="1"/>
  <c r="O14" i="1"/>
  <c r="L14" i="1" s="1"/>
  <c r="O13" i="1"/>
  <c r="L13" i="1" s="1"/>
  <c r="O12" i="1"/>
  <c r="L12" i="1" s="1"/>
  <c r="D15" i="2"/>
  <c r="D16" i="2"/>
  <c r="D17" i="2"/>
  <c r="L89" i="1"/>
  <c r="O136" i="1"/>
  <c r="L136" i="1" s="1"/>
  <c r="O137" i="1"/>
  <c r="L121" i="1"/>
  <c r="P107" i="1"/>
  <c r="O107" i="1"/>
  <c r="O133" i="1"/>
  <c r="L133" i="1" s="1"/>
  <c r="O134" i="1"/>
  <c r="L134" i="1" s="1"/>
  <c r="O135" i="1"/>
  <c r="L135" i="1" s="1"/>
  <c r="O114" i="1"/>
  <c r="L114" i="1" s="1"/>
  <c r="O115" i="1"/>
  <c r="L115" i="1" s="1"/>
  <c r="O118" i="1"/>
  <c r="O3" i="1"/>
  <c r="L3" i="1" s="1"/>
  <c r="O4" i="1"/>
  <c r="L4" i="1" s="1"/>
  <c r="O5" i="1"/>
  <c r="L5" i="1" s="1"/>
  <c r="O6" i="1"/>
  <c r="L6" i="1" s="1"/>
  <c r="O7" i="1"/>
  <c r="L7" i="1" s="1"/>
  <c r="O8" i="1"/>
  <c r="L8" i="1" s="1"/>
  <c r="O9" i="1"/>
  <c r="L9" i="1" s="1"/>
  <c r="O10" i="1"/>
  <c r="L10" i="1" s="1"/>
  <c r="O11" i="1"/>
  <c r="L11" i="1" s="1"/>
  <c r="O16" i="1"/>
  <c r="L16" i="1" s="1"/>
  <c r="L27" i="1"/>
  <c r="L31" i="1"/>
  <c r="O33" i="1"/>
  <c r="L33" i="1" s="1"/>
  <c r="O42" i="1"/>
  <c r="L42" i="1" s="1"/>
  <c r="O43" i="1"/>
  <c r="L43" i="1" s="1"/>
  <c r="O44" i="1"/>
  <c r="L44" i="1" s="1"/>
  <c r="O51" i="1"/>
  <c r="L51" i="1" s="1"/>
  <c r="O52" i="1"/>
  <c r="L52" i="1" s="1"/>
  <c r="O53" i="1"/>
  <c r="L53" i="1" s="1"/>
  <c r="L54" i="1"/>
  <c r="O55" i="1"/>
  <c r="L55" i="1" s="1"/>
  <c r="O56" i="1"/>
  <c r="L56" i="1" s="1"/>
  <c r="O57" i="1"/>
  <c r="L57" i="1" s="1"/>
  <c r="O58" i="1"/>
  <c r="L58" i="1" s="1"/>
  <c r="O59" i="1"/>
  <c r="L59" i="1" s="1"/>
  <c r="O60" i="1"/>
  <c r="L60" i="1" s="1"/>
  <c r="O61" i="1"/>
  <c r="L61" i="1" s="1"/>
  <c r="O108" i="1"/>
  <c r="L108" i="1" s="1"/>
  <c r="O113" i="1"/>
  <c r="L113" i="1" s="1"/>
  <c r="O119" i="1"/>
  <c r="L119" i="1" s="1"/>
  <c r="O138" i="1"/>
  <c r="L138" i="1" s="1"/>
  <c r="O139" i="1"/>
  <c r="L139" i="1" s="1"/>
  <c r="O125" i="1"/>
  <c r="L125" i="1" s="1"/>
  <c r="O131" i="1"/>
  <c r="L131" i="1" s="1"/>
  <c r="O132" i="1"/>
  <c r="L132" i="1" s="1"/>
  <c r="O140" i="1"/>
  <c r="L140" i="1" s="1"/>
  <c r="L62" i="1"/>
  <c r="L63" i="1"/>
  <c r="L64" i="1"/>
  <c r="O65" i="1"/>
  <c r="L65" i="1" s="1"/>
  <c r="O66" i="1"/>
  <c r="L66" i="1" s="1"/>
  <c r="O67" i="1"/>
  <c r="L67" i="1" s="1"/>
  <c r="O68" i="1"/>
  <c r="L68" i="1" s="1"/>
  <c r="O69" i="1"/>
  <c r="L69" i="1" s="1"/>
  <c r="O70" i="1"/>
  <c r="L70" i="1" s="1"/>
  <c r="O71" i="1"/>
  <c r="L71" i="1" s="1"/>
  <c r="O72" i="1"/>
  <c r="L72" i="1" s="1"/>
  <c r="O73" i="1"/>
  <c r="L73" i="1" s="1"/>
  <c r="O74" i="1"/>
  <c r="L74" i="1" s="1"/>
  <c r="O75" i="1"/>
  <c r="L75" i="1" s="1"/>
  <c r="O76" i="1"/>
  <c r="L76" i="1" s="1"/>
  <c r="O77" i="1"/>
  <c r="L77" i="1" s="1"/>
  <c r="O78" i="1"/>
  <c r="L78" i="1" s="1"/>
  <c r="O79" i="1"/>
  <c r="L79" i="1" s="1"/>
  <c r="O80" i="1"/>
  <c r="L80" i="1" s="1"/>
  <c r="O81" i="1"/>
  <c r="L81" i="1" s="1"/>
  <c r="O82" i="1"/>
  <c r="L82" i="1" s="1"/>
  <c r="O83" i="1"/>
  <c r="L83" i="1" s="1"/>
  <c r="O84" i="1"/>
  <c r="L84" i="1" s="1"/>
  <c r="O85" i="1"/>
  <c r="L85" i="1" s="1"/>
  <c r="O86" i="1"/>
  <c r="L86" i="1" s="1"/>
  <c r="O87" i="1"/>
  <c r="L87" i="1" s="1"/>
  <c r="O91" i="1"/>
  <c r="L91" i="1" s="1"/>
  <c r="O94" i="1"/>
  <c r="L94" i="1" s="1"/>
  <c r="O98" i="1"/>
  <c r="L98" i="1" s="1"/>
  <c r="O99" i="1"/>
  <c r="L99" i="1" s="1"/>
  <c r="O103" i="1"/>
  <c r="O128" i="1"/>
  <c r="L128" i="1" s="1"/>
  <c r="O142" i="1"/>
  <c r="L142" i="1" s="1"/>
  <c r="O146" i="1"/>
  <c r="O112" i="1"/>
  <c r="O124" i="1"/>
  <c r="L124" i="1" s="1"/>
  <c r="O130" i="1"/>
  <c r="L130" i="1" s="1"/>
  <c r="L118" i="1" l="1"/>
  <c r="L101" i="1"/>
  <c r="L112" i="1"/>
  <c r="L146" i="1"/>
  <c r="L107" i="1"/>
  <c r="L137" i="1"/>
  <c r="J147" i="1" l="1"/>
</calcChain>
</file>

<file path=xl/sharedStrings.xml><?xml version="1.0" encoding="utf-8"?>
<sst xmlns="http://schemas.openxmlformats.org/spreadsheetml/2006/main" count="1180" uniqueCount="448">
  <si>
    <t>Lp.</t>
  </si>
  <si>
    <t>Jednostka orgnizacyjna</t>
  </si>
  <si>
    <t>Lokalizacja / przeznaczenie</t>
  </si>
  <si>
    <t>Rok budowy</t>
  </si>
  <si>
    <t>Materiały konstrukcyjne</t>
  </si>
  <si>
    <t>Wartość O m2</t>
  </si>
  <si>
    <t>Wartość O</t>
  </si>
  <si>
    <t>Wartość KB</t>
  </si>
  <si>
    <t>ścian</t>
  </si>
  <si>
    <t>stropów</t>
  </si>
  <si>
    <t>stropodachu</t>
  </si>
  <si>
    <t>pokrycie dachu</t>
  </si>
  <si>
    <t>1.</t>
  </si>
  <si>
    <t>2.</t>
  </si>
  <si>
    <t>3.</t>
  </si>
  <si>
    <t>4.</t>
  </si>
  <si>
    <t>5.</t>
  </si>
  <si>
    <t>6.</t>
  </si>
  <si>
    <t>-</t>
  </si>
  <si>
    <t>7.</t>
  </si>
  <si>
    <t>8.</t>
  </si>
  <si>
    <t>9.</t>
  </si>
  <si>
    <t>10.</t>
  </si>
  <si>
    <t>11.</t>
  </si>
  <si>
    <t>12.</t>
  </si>
  <si>
    <t>Nadzór konserwatora</t>
  </si>
  <si>
    <t>Remonty</t>
  </si>
  <si>
    <t>Suma ubezpieczenia</t>
  </si>
  <si>
    <t>L.p.</t>
  </si>
  <si>
    <t>Przedmiot ubezpieczenia</t>
  </si>
  <si>
    <t>Sprzęt stacjonarny</t>
  </si>
  <si>
    <t>Sprzęt przenośny</t>
  </si>
  <si>
    <t>Kserokopiarki i urządzenia wielofunkcyjne</t>
  </si>
  <si>
    <t>Centrale i faxy</t>
  </si>
  <si>
    <t>Jednostka</t>
  </si>
  <si>
    <t>Zabezpieczenia przeciwpożarowe</t>
  </si>
  <si>
    <t>Zabezpieczenia przeciwkradzieżowe</t>
  </si>
  <si>
    <t>Nr rej.</t>
  </si>
  <si>
    <t>Marka</t>
  </si>
  <si>
    <t>Typ/model</t>
  </si>
  <si>
    <t>Rodzaj</t>
  </si>
  <si>
    <t>Lokalizacja</t>
  </si>
  <si>
    <t>p</t>
  </si>
  <si>
    <t>s</t>
  </si>
  <si>
    <t>b</t>
  </si>
  <si>
    <t>w</t>
  </si>
  <si>
    <t>bu</t>
  </si>
  <si>
    <t>Rodzaj sumy ubezpieczenia</t>
  </si>
  <si>
    <t>KB</t>
  </si>
  <si>
    <t>Wyposażenie i urządzenia</t>
  </si>
  <si>
    <t>nie</t>
  </si>
  <si>
    <t>blacha</t>
  </si>
  <si>
    <t>12. Zespół Szkół w Kluczkowicach</t>
  </si>
  <si>
    <t>beton</t>
  </si>
  <si>
    <t>papa</t>
  </si>
  <si>
    <t>Centrala telefoniczna, faksy</t>
  </si>
  <si>
    <t>Tablice interaktywne</t>
  </si>
  <si>
    <t>cegła</t>
  </si>
  <si>
    <t>O</t>
  </si>
  <si>
    <t>Budynek sklepu Osmolice Pierwsze</t>
  </si>
  <si>
    <t>Budynek zaplecza klubu sportowego Piotrowice</t>
  </si>
  <si>
    <t>Budynek świetlicy w Pawłowie</t>
  </si>
  <si>
    <t>Budynek hydroforni Strzyżewice</t>
  </si>
  <si>
    <t>Budynek hydroforni we Franciszkowie</t>
  </si>
  <si>
    <t>Budynek gospodarczy Piotrowice</t>
  </si>
  <si>
    <t xml:space="preserve">Budynek gospodarczy Piotrowice </t>
  </si>
  <si>
    <t>Budynek gospodarczy (zasiek na opał przy hydroforni)</t>
  </si>
  <si>
    <t>Remiza OSP Bystrzyca Stara</t>
  </si>
  <si>
    <t>Budynek przepompowni Pszczela Wola</t>
  </si>
  <si>
    <t xml:space="preserve">Budynek dworku w Strzyżewicach </t>
  </si>
  <si>
    <t>Szlet publiczny w Strzyżewicach</t>
  </si>
  <si>
    <t>Zbiornik ciśnieniowy Nr 1 Strzyżewice</t>
  </si>
  <si>
    <t>Zbiornik ciśnieniowy Nr 2 Strzyżewice</t>
  </si>
  <si>
    <t>Oczyszczalnia ścieków Piotrowice</t>
  </si>
  <si>
    <t>Pompownia Kolonia Kiełczewice Dolne</t>
  </si>
  <si>
    <t>Boisko sportowe w Strzyżewicach</t>
  </si>
  <si>
    <t>Stadnion sportowy w Piotrowicach</t>
  </si>
  <si>
    <t>Plac zabaw Strzyżewice</t>
  </si>
  <si>
    <t>Plac zabaw Piotrowice</t>
  </si>
  <si>
    <t>Boisko sportowe w Piotrowicach</t>
  </si>
  <si>
    <t>Plac zabaw Osmolicie Pierwsze</t>
  </si>
  <si>
    <t>Plac zabaw Borkowizna</t>
  </si>
  <si>
    <t>Boisko sportowe w Borkowiźnie</t>
  </si>
  <si>
    <t>Przystanie kajakowe</t>
  </si>
  <si>
    <t>Ogrodzenie stacji wodociągowej Strzyżewice</t>
  </si>
  <si>
    <t>Ogrodzenie działki OSP Osmolicie Pierwsze</t>
  </si>
  <si>
    <t>Ogrodzenie działki OSP Bystrzyca Stara</t>
  </si>
  <si>
    <t>Ogrodzenie działki OSP Pawłów</t>
  </si>
  <si>
    <t>Przystanek autobusowy Polanówka</t>
  </si>
  <si>
    <t>Przystanek autobusowy Kajetanówka</t>
  </si>
  <si>
    <t>Przystanek autobusowy Kiełczewice Maryjskie</t>
  </si>
  <si>
    <t>Przystanek autobusowy Pszczela Wola</t>
  </si>
  <si>
    <t>Przystanek autobusowy Strzyżewice</t>
  </si>
  <si>
    <t>Przystanek autobusowy Rechta</t>
  </si>
  <si>
    <t>Przystanek autobusowy Bystrzyca Stara</t>
  </si>
  <si>
    <t>Przystanek autobusowy Bystrzyca Nowa</t>
  </si>
  <si>
    <t>Przystanek autobusowy Pawłów</t>
  </si>
  <si>
    <t>Przystanek autobusowy Żabia Wola</t>
  </si>
  <si>
    <t>Przystanek autobusowy Franciszków</t>
  </si>
  <si>
    <t>Przystanek Żabia Wola</t>
  </si>
  <si>
    <t>Ogrodzenie Parku Piotrowice</t>
  </si>
  <si>
    <t>Zadaszenie przystankowe, Strzyżewice</t>
  </si>
  <si>
    <t>Wiata przystankowa Bystrzyca Stara</t>
  </si>
  <si>
    <t>Wiata przystankowa Bystrzyca Nowa</t>
  </si>
  <si>
    <t>Wiata przystankowa Piotrowice</t>
  </si>
  <si>
    <t>Wiata przystankowa Osmolice</t>
  </si>
  <si>
    <t>Wiata przystankowa Żabia Wola</t>
  </si>
  <si>
    <t>Wiata przystankowa w Bystrzycy Nowej</t>
  </si>
  <si>
    <t>Ogrodzenie placu zabaw w Borkowiźnie</t>
  </si>
  <si>
    <t>1. Urząd Gminy</t>
  </si>
  <si>
    <t>1.Urząd Gminy</t>
  </si>
  <si>
    <t>3. Centrum Kultury i Promocji</t>
  </si>
  <si>
    <t>Wyposarzenie i urzadzenia</t>
  </si>
  <si>
    <t>Kiosk internetowy</t>
  </si>
  <si>
    <t>wyposażenie i urządzenia</t>
  </si>
  <si>
    <t>5.Przedszkole publiczne</t>
  </si>
  <si>
    <t>6. Publiczna szkoła podstawowa w Kiełczewicach</t>
  </si>
  <si>
    <t>6. Szkoła Podstawowa w Kiełczewicach</t>
  </si>
  <si>
    <t>Budynek gospodarczy</t>
  </si>
  <si>
    <t>Ogrodzenie szkoły wraz z 2 szt. bam wjazdowych</t>
  </si>
  <si>
    <t>7. Szkoła Podstawowa w Osmolicach</t>
  </si>
  <si>
    <t>8. Szkoła Podstawowa w Rechcie</t>
  </si>
  <si>
    <t xml:space="preserve">Ogrodzenie </t>
  </si>
  <si>
    <t xml:space="preserve">Budynek szkoły  </t>
  </si>
  <si>
    <t xml:space="preserve">ogrodzenie </t>
  </si>
  <si>
    <t>Budynek szkoły z kotłownią</t>
  </si>
  <si>
    <t>Budynek starej szkoły</t>
  </si>
  <si>
    <t>ogrodzenie</t>
  </si>
  <si>
    <t>plac zabaw</t>
  </si>
  <si>
    <t>9. Szkoła odstawowa w Żabiej Woli</t>
  </si>
  <si>
    <t>10. Zespół Szkół publicznych w Bystrzycy</t>
  </si>
  <si>
    <t>Pianino</t>
  </si>
  <si>
    <t>szambo</t>
  </si>
  <si>
    <t>Studnia</t>
  </si>
  <si>
    <t>10. Zespół Szkół w Bystrzycy Starej</t>
  </si>
  <si>
    <t>LUB 2646A</t>
  </si>
  <si>
    <t>Renault</t>
  </si>
  <si>
    <t>Traffic</t>
  </si>
  <si>
    <t>osobowy</t>
  </si>
  <si>
    <t>VF1JLBHB67V303618</t>
  </si>
  <si>
    <t>LUB GH10</t>
  </si>
  <si>
    <t>Zetor</t>
  </si>
  <si>
    <t>Ciągnik rolniczy</t>
  </si>
  <si>
    <t>3922/ 2000</t>
  </si>
  <si>
    <t>LUB 90PT</t>
  </si>
  <si>
    <t>Tiule Trailers</t>
  </si>
  <si>
    <t>T1</t>
  </si>
  <si>
    <t>Przyczepa lekka</t>
  </si>
  <si>
    <t> 2007</t>
  </si>
  <si>
    <t>UH2000A498P229089</t>
  </si>
  <si>
    <t>FS Lublin</t>
  </si>
  <si>
    <t>Star</t>
  </si>
  <si>
    <t>LUB 90KG</t>
  </si>
  <si>
    <t>P244LME09325</t>
  </si>
  <si>
    <t>LUB 5416A</t>
  </si>
  <si>
    <t>24GBA</t>
  </si>
  <si>
    <t>LUB 61RA</t>
  </si>
  <si>
    <t>LUB 50RS</t>
  </si>
  <si>
    <t>FSC- Starachowice</t>
  </si>
  <si>
    <t>Star 244</t>
  </si>
  <si>
    <t>LUB 54RG</t>
  </si>
  <si>
    <t>Star 266</t>
  </si>
  <si>
    <t>LBT 6773</t>
  </si>
  <si>
    <t>Lublin III Combi</t>
  </si>
  <si>
    <t>SUI352417XOO15237</t>
  </si>
  <si>
    <t>LUB 6976F</t>
  </si>
  <si>
    <t xml:space="preserve">Ford </t>
  </si>
  <si>
    <t>Transit</t>
  </si>
  <si>
    <t>WF0NXXTTFNDC51846</t>
  </si>
  <si>
    <t>LUB 2292F</t>
  </si>
  <si>
    <t>Ford</t>
  </si>
  <si>
    <t>WF0XXXTTFXBS88586</t>
  </si>
  <si>
    <t>LUB 4493F</t>
  </si>
  <si>
    <t>WF0XXXTTFXCA89884</t>
  </si>
  <si>
    <t>LUB 4494F</t>
  </si>
  <si>
    <t>WF0XXXTTFXCA89887</t>
  </si>
  <si>
    <t>LUB FR67</t>
  </si>
  <si>
    <t>STIM</t>
  </si>
  <si>
    <t>przyczepka</t>
  </si>
  <si>
    <t>/570</t>
  </si>
  <si>
    <t>SYAP07500C0003989</t>
  </si>
  <si>
    <t>LUB 0216F</t>
  </si>
  <si>
    <t>MAN</t>
  </si>
  <si>
    <t>TGM 13.290</t>
  </si>
  <si>
    <t>WMAN36ZZ4BY254772</t>
  </si>
  <si>
    <t>Odśnieżarka</t>
  </si>
  <si>
    <t>Kosiarka samojezdna</t>
  </si>
  <si>
    <t xml:space="preserve">Budynek drewniany, dzielone z Publiczną Szkołą Podstawową w Żabiej Woli,  Żabia Wola 77A </t>
  </si>
  <si>
    <t xml:space="preserve">Plac zabaw </t>
  </si>
  <si>
    <t>Budynek biurowy murowany w Strzyżewicach</t>
  </si>
  <si>
    <t>cegła pełna czrwona+dziurkowana</t>
  </si>
  <si>
    <t>klaina</t>
  </si>
  <si>
    <t>Budynek biurowy w Piotrowice</t>
  </si>
  <si>
    <t>kamień</t>
  </si>
  <si>
    <t>drewno</t>
  </si>
  <si>
    <t>Budynek sklepu Piotrowice</t>
  </si>
  <si>
    <t>beton belitowy+styropian</t>
  </si>
  <si>
    <t>cegła pełno czerwona</t>
  </si>
  <si>
    <t>kameń cegła czrwona</t>
  </si>
  <si>
    <t>Budynek Przedszkola Piotrowice</t>
  </si>
  <si>
    <t>Budynek Klubu CKiP Piotrowice</t>
  </si>
  <si>
    <t>beton belitowy+kamień</t>
  </si>
  <si>
    <t>klaina+drewno</t>
  </si>
  <si>
    <t>beton belitowy</t>
  </si>
  <si>
    <t>cegla czerwona+styropian+tynk</t>
  </si>
  <si>
    <t>beton+styropian</t>
  </si>
  <si>
    <t>Budynek hydroforni (przepompowni) Kiełczewice Maryjskie zlikalizowany w Kiełczewicach Dolnych</t>
  </si>
  <si>
    <t>beton belitowu</t>
  </si>
  <si>
    <t>balcha</t>
  </si>
  <si>
    <t>baton</t>
  </si>
  <si>
    <t>drewno+cegła</t>
  </si>
  <si>
    <t xml:space="preserve">cegła pełna  </t>
  </si>
  <si>
    <t>eternit</t>
  </si>
  <si>
    <t>Budynek gospodarczy OSP Piotrowice</t>
  </si>
  <si>
    <t>Remiza OSP Kiełczewice Maryjskie</t>
  </si>
  <si>
    <t>pustak betonowy</t>
  </si>
  <si>
    <t>Remiza OSP Strzyżewice</t>
  </si>
  <si>
    <t>cegła dziurkowana+beton belitowy</t>
  </si>
  <si>
    <t>klana+drewno</t>
  </si>
  <si>
    <t>Remiza OSP Osmolicie Pierwsze</t>
  </si>
  <si>
    <t>pusta+cegła</t>
  </si>
  <si>
    <t>Remiza OSP Dębszczyzna</t>
  </si>
  <si>
    <t>cegła biała</t>
  </si>
  <si>
    <t>Remiza OSP Pawłów</t>
  </si>
  <si>
    <t>Remiza OSP Piotrowice</t>
  </si>
  <si>
    <t>cegła czerwona+pustak betonowy</t>
  </si>
  <si>
    <t>placha+blacha</t>
  </si>
  <si>
    <t>stal+szkło</t>
  </si>
  <si>
    <t>blacha + wełna</t>
  </si>
  <si>
    <t>Remiza OSP Kiełczewice Górne</t>
  </si>
  <si>
    <t xml:space="preserve">cegła dziurkowana  </t>
  </si>
  <si>
    <t>Remiza OSP Franciszków</t>
  </si>
  <si>
    <t>cegła+brton belitowy</t>
  </si>
  <si>
    <t>cegła pełna</t>
  </si>
  <si>
    <t>Budynek mieszkalny Piotrowice (dawna poczta)</t>
  </si>
  <si>
    <t>Budynek mieszkalny Piotrowice (w parku)</t>
  </si>
  <si>
    <t>Budynek szatni przy kompleksie boisk w Bystrzycy Starej</t>
  </si>
  <si>
    <t>betn komórkowy</t>
  </si>
  <si>
    <t>Karuzela tarczowa z siedzeniami</t>
  </si>
  <si>
    <t>Sześciokąt wielofunkcyjny</t>
  </si>
  <si>
    <t>Kompleks boisk Bystrzyca Stara</t>
  </si>
  <si>
    <t>Ogrodzenie kompleksu boisk</t>
  </si>
  <si>
    <t>Ogrodzenie placu w Strzyzewicach</t>
  </si>
  <si>
    <t>Ogrodzenie placy w Bystrzycy Starej</t>
  </si>
  <si>
    <t>Wyposażenie i urządzenia w tym pojazdy wolnobieżne, pompy, namiot, agregat</t>
  </si>
  <si>
    <t>brak</t>
  </si>
  <si>
    <t>-/460 </t>
  </si>
  <si>
    <t>LUB 9411F</t>
  </si>
  <si>
    <t xml:space="preserve">Mercedes </t>
  </si>
  <si>
    <t>Benz</t>
  </si>
  <si>
    <t>autobus</t>
  </si>
  <si>
    <t>WDB9066571S994570</t>
  </si>
  <si>
    <t>snow-park</t>
  </si>
  <si>
    <t>8-80-800</t>
  </si>
  <si>
    <t>7-79-790</t>
  </si>
  <si>
    <t>Brak nr rej.</t>
  </si>
  <si>
    <t>UG</t>
  </si>
  <si>
    <t>Gmina</t>
  </si>
  <si>
    <t>Urząd Gminy</t>
  </si>
  <si>
    <t>Zdodnie z przepisami p. poż. sygnalizacja powstania pożaru, gaśnice i agregaty 5 szt., hydranty zewnętrzne 1 szt. Hydranty wewnętrzne 2 szt.</t>
  </si>
  <si>
    <t>Zdodnie z przepisami p. poż. sygnalizacja powstania pożaru, gaśnice i agregaty 2 szt., hydranty zewnętrzne 1 szt. hydranty wewnętrzne 1 szt.</t>
  </si>
  <si>
    <t xml:space="preserve">Zdodnie z przepisami p. poż. gaśnice i agregaty 1 szt., hydranty zewnętrzne 1 szt. </t>
  </si>
  <si>
    <t xml:space="preserve">Zdodnie z przepisami p. poż. gaśnice i agregaty 2 szt., hydranty zewnętrzne 1 szt. </t>
  </si>
  <si>
    <t xml:space="preserve">Zdodnie z przepisami p. poż. </t>
  </si>
  <si>
    <t xml:space="preserve">Zdodnie z przepisami p. poż.  hydranty wewnętrzne 1 szt. </t>
  </si>
  <si>
    <t xml:space="preserve">Zdodnie z przepisami p. poż.  hydranty zewnętrzne 1 szt. </t>
  </si>
  <si>
    <t xml:space="preserve">Zdodnie z przepisami p. poż. hydranty zewnętrzne 1 szt. </t>
  </si>
  <si>
    <t>Budynek mieszklany Piotrowice (pałac po Urzędzie)</t>
  </si>
  <si>
    <t xml:space="preserve">Zdodnie z przepisami p. poż. hydranty zewnętrzne 2 szt. </t>
  </si>
  <si>
    <t>System alarmujacy słuzby z całodobową ochroną</t>
  </si>
  <si>
    <t>Co najmniej 2 zamki wielozastawkowe w każdych drzwiach zewnętrznych</t>
  </si>
  <si>
    <t>Co najmniej 2 zamki wielozastawkowe w każdych drzwiach zewnętrznych, alarm tylko na miejscu</t>
  </si>
  <si>
    <t>stały dozór wenętrzny</t>
  </si>
  <si>
    <t>Co najmniej 2 zamki wielozastawkowe w każdych drzwiach zewnętrznych, stały dozór zewnętrzny</t>
  </si>
  <si>
    <t>4. Gminna Biblioteka Publiczna</t>
  </si>
  <si>
    <t>4. Gminna Bibliotek Publiczna</t>
  </si>
  <si>
    <t>5. Samorządowe Przedszkole Publiczne</t>
  </si>
  <si>
    <t>Jednostak nie posiada budynku</t>
  </si>
  <si>
    <t>Budynek szkoły</t>
  </si>
  <si>
    <t>1960/1997</t>
  </si>
  <si>
    <t>belit</t>
  </si>
  <si>
    <t>1999/2007/2010</t>
  </si>
  <si>
    <t>7. Szkoła Pdstawowa w Osmolicach</t>
  </si>
  <si>
    <t>Co najmniej 2 zamki wielozastawkowe w każdych drzwiach zewnętrznych, cześciowo okratowane okna</t>
  </si>
  <si>
    <t>1929/1993</t>
  </si>
  <si>
    <t>cegła, pustak</t>
  </si>
  <si>
    <t>stara czesc - drwno, nowa część - beton</t>
  </si>
  <si>
    <t>Komóka</t>
  </si>
  <si>
    <t>Plac zabaw</t>
  </si>
  <si>
    <t xml:space="preserve">Co najmniej 2 zamki wielozastawkowe w każdych drzwiach zewnętrznych, </t>
  </si>
  <si>
    <t>Zdodnie z przepisami p. poż. Gasnice lub akregaty 10 szt. , hydanty zewnętrzne 1 szt.</t>
  </si>
  <si>
    <t xml:space="preserve">Monitoring   </t>
  </si>
  <si>
    <t>9. Szkoła Podstawowa w Żabiej Woli</t>
  </si>
  <si>
    <t>Co najmniej 2 zamki wielozastawkowe w każdych drzwiach zewnętrznych, okatowane okna</t>
  </si>
  <si>
    <t>Sprzet elektroniczny starszy niż 7 lat</t>
  </si>
  <si>
    <t>Kserokopiarki i urządzenia wielofunkcyjne starsze niż 7 lata</t>
  </si>
  <si>
    <t>Sprzet elektroniczny przenośny starszy niż 7 lat</t>
  </si>
  <si>
    <t>Sprzet elektroniczny stacjonarny starszy niż 7 lat</t>
  </si>
  <si>
    <t>Centrale i faxy starsze niż 7 lat</t>
  </si>
  <si>
    <t>Sprzęt elektroniczny stacjonarny starszy niż 7 lat</t>
  </si>
  <si>
    <t>Budynek szkolny z salą gimnastyczną gimnazjum</t>
  </si>
  <si>
    <t>Budynek szkolny szkoła podstawowa</t>
  </si>
  <si>
    <t>Ogrodzenie</t>
  </si>
  <si>
    <t>cegła pojedyńcza czerwona</t>
  </si>
  <si>
    <t>murowane</t>
  </si>
  <si>
    <t>krokwie drewniane</t>
  </si>
  <si>
    <t>belit drewno</t>
  </si>
  <si>
    <t>Zespół Szkół w Bystrzycy Starej</t>
  </si>
  <si>
    <t xml:space="preserve">Zdodnie z przepisami p. poż. Gaśnice lub agregaty 2 szt. </t>
  </si>
  <si>
    <t>Piec konwekcyjno - parowy</t>
  </si>
  <si>
    <t>2. Ośrdodek Pomocy Społecznej</t>
  </si>
  <si>
    <t>2.Ośrodek Pomocy Społecznej</t>
  </si>
  <si>
    <t xml:space="preserve">Centrale, faxy </t>
  </si>
  <si>
    <t>Sprzęt starszy niż 7 lat</t>
  </si>
  <si>
    <t>pustak</t>
  </si>
  <si>
    <t>pręty metalowe</t>
  </si>
  <si>
    <t>Wyposażenie i urządzenia w tym piec konwekcyjny</t>
  </si>
  <si>
    <t>Centrale, faxy</t>
  </si>
  <si>
    <t>Zdodnie z przepisami p. poż. Gasnice lub akregaty 10 szt. , hydanty zewnętrzne</t>
  </si>
  <si>
    <t>strop betonowy</t>
  </si>
  <si>
    <t>Komórka</t>
  </si>
  <si>
    <t>Sprzęt stacjonarny*</t>
  </si>
  <si>
    <t>Kserokopiarki i urządzenia wielofunkcyjne*</t>
  </si>
  <si>
    <t>Sprzęt przenośny*</t>
  </si>
  <si>
    <t>Tablica interaktywna*</t>
  </si>
  <si>
    <t>* bez względu na wiek sprzetu</t>
  </si>
  <si>
    <t xml:space="preserve">Monitoring*   </t>
  </si>
  <si>
    <t>Centrale, fax</t>
  </si>
  <si>
    <t>wyposarżenie i urzadzenia w ty piec konwekcyjny</t>
  </si>
  <si>
    <t>Zdodnie z przepisami p. poż. Gasnice lub akregaty 10 szt. , hydranty wewnętrzne 2szt., hydranty zewnęttrzne 1 szt., okratowane okna w cześci budynku</t>
  </si>
  <si>
    <t>hydranty zewnętrzny, okratowane okna w cześci budynku</t>
  </si>
  <si>
    <t>Monitorig*</t>
  </si>
  <si>
    <t>Zdodnie z przepisami p. poż. Gasnica szt. 6. hydranty zewnętrzne szt. 2, hydranty wewnętrzne szt. 5</t>
  </si>
  <si>
    <t>Zdodnie z przepisami p. poż. Gasnica szt. 7, hydranty wewnętrzne szt. 3</t>
  </si>
  <si>
    <t>papa, blacha trapezowa</t>
  </si>
  <si>
    <t>beton żelbet</t>
  </si>
  <si>
    <t>Sprzęt elektroniczny starszy niż 7 lat</t>
  </si>
  <si>
    <t>Wyposazenie i urzadzenia w tym sprzet muzyczny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</si>
  <si>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</si>
  <si>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</si>
  <si>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</si>
  <si>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</si>
  <si>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</si>
  <si>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</si>
  <si>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</si>
  <si>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</si>
  <si>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</si>
  <si>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LUB 5711G</t>
  </si>
  <si>
    <t>22.</t>
  </si>
  <si>
    <t>LUB 7242G</t>
  </si>
  <si>
    <t>23.</t>
  </si>
  <si>
    <t>Poj./ład.</t>
  </si>
  <si>
    <t>l. miejsc</t>
  </si>
  <si>
    <t>rok prod.</t>
  </si>
  <si>
    <t>Nr VIN</t>
  </si>
  <si>
    <t>Suma ubepzieczenia</t>
  </si>
  <si>
    <t>Okres ubepzieczenia OC</t>
  </si>
  <si>
    <t>Okres ubepzieczenia AC</t>
  </si>
  <si>
    <t>Okres ubepzieczenia NNW</t>
  </si>
  <si>
    <t>Ubezpieczony</t>
  </si>
  <si>
    <t>ciężarowy</t>
  </si>
  <si>
    <t>1999</t>
  </si>
  <si>
    <t>SUL332212X0036242</t>
  </si>
  <si>
    <t>16.05.2020 15.05.2023</t>
  </si>
  <si>
    <t xml:space="preserve">TGM  </t>
  </si>
  <si>
    <t>pożarniczy</t>
  </si>
  <si>
    <t>WMAN38ZZ7HY361495</t>
  </si>
  <si>
    <t>2017</t>
  </si>
  <si>
    <t>30.11.2020 29.11.2023</t>
  </si>
  <si>
    <t>01.03.2020 28.02.2023</t>
  </si>
  <si>
    <t>16.12.2020 15.12.2023</t>
  </si>
  <si>
    <t>KUBOTA</t>
  </si>
  <si>
    <t>B1241</t>
  </si>
  <si>
    <t>KBTBADDRJK1031293</t>
  </si>
  <si>
    <t>LUB 2E04</t>
  </si>
  <si>
    <t>2019</t>
  </si>
  <si>
    <t xml:space="preserve">Rider 214TC </t>
  </si>
  <si>
    <t>Husgvarna</t>
  </si>
  <si>
    <t>Traktor HQS TC 38 a</t>
  </si>
  <si>
    <t>Husgvarn</t>
  </si>
  <si>
    <t>Traktor</t>
  </si>
  <si>
    <t xml:space="preserve"> CTH 180</t>
  </si>
  <si>
    <t>ST 5-59-592P.0004</t>
  </si>
  <si>
    <t>ST 5-59-592P.0005</t>
  </si>
  <si>
    <t>19.12.2020 18.12.2023</t>
  </si>
  <si>
    <t>Budynek biurowy murowany w Strzyżewicach, Strzyżewice 109</t>
  </si>
  <si>
    <t>Budynek biurowy w Piotrowicach, Piotrowice 94</t>
  </si>
  <si>
    <t>Budynek sklepu Piotrowicach, Piotrowice 154a</t>
  </si>
  <si>
    <t>Budynek sklepu Osmolice Pierwsze 154</t>
  </si>
  <si>
    <t>Budynek Przedszkola Piotrowice 94</t>
  </si>
  <si>
    <t>Budynek Klubu CKiP Piotrowice 94a</t>
  </si>
  <si>
    <t>Budynek zaplecza klubu sportowego Piotrowice 94</t>
  </si>
  <si>
    <t>Budynek świetlicy w Pawłowie 9</t>
  </si>
  <si>
    <t>Budynek gospodarczy Piotrowice (za Widomską)</t>
  </si>
  <si>
    <t>Budynek gospodarczy Piotrowice (przy Widomskiej)</t>
  </si>
  <si>
    <r>
      <t>Pow. użytk. w m</t>
    </r>
    <r>
      <rPr>
        <b/>
        <vertAlign val="superscript"/>
        <sz val="10"/>
        <rFont val="Arial Narrow"/>
        <family val="2"/>
        <charset val="238"/>
      </rPr>
      <t>2</t>
    </r>
  </si>
  <si>
    <t>Budynek gospodarczy OSP Piotrowice, Piotrowice 143</t>
  </si>
  <si>
    <t>Remiza OSP Strzyżewice, Stzyżewice 35a</t>
  </si>
  <si>
    <t>Remiza OSP Osmolicie Pierwsze,Osmolice Pierwsze 33</t>
  </si>
  <si>
    <t>Gazobeton</t>
  </si>
  <si>
    <t>żelbeton</t>
  </si>
  <si>
    <t>Remiza OSP Bystrzyca Stara, Bystrzyca Stara 8</t>
  </si>
  <si>
    <t>Remiza OSP Dębszczyzna, Dębszczyzan 2a</t>
  </si>
  <si>
    <t>Remiza OSP Pawłów, Pawłów 9</t>
  </si>
  <si>
    <t>Remiza OSP Piotrowice, Piotrowice 143</t>
  </si>
  <si>
    <t>Remiza OSP Franciszków, Franciszków 11</t>
  </si>
  <si>
    <t>Remiza OSP Kiełczewice Górne,, Kiełczewice Górne 120</t>
  </si>
  <si>
    <t>Budynek mieszklany Piotrowice (pałac po Urzędzie)**, Piotrowice 8</t>
  </si>
  <si>
    <t>Budynek mieszkalny Piotrowice (dawna poczta), Poczta 8a</t>
  </si>
  <si>
    <t>Budynek mieszkalny Piotrowice (w parku), Piotrowice 171</t>
  </si>
  <si>
    <t>Budynek magazynowy dz. 804/24</t>
  </si>
  <si>
    <t>beton+cegła</t>
  </si>
  <si>
    <t>Budynek magazynowy dz. 804/29</t>
  </si>
  <si>
    <t>Budynek magazynowy dz. 804/30</t>
  </si>
  <si>
    <t>Budynek mieszkalno - usługowy w Piotrowicach udziała 500/1000 we własności część usługowa  Piotrowice 176</t>
  </si>
  <si>
    <t>Kleina</t>
  </si>
  <si>
    <t>Budynek w Kajetanówce 35</t>
  </si>
  <si>
    <t>Budynek remizy Strażackiej w Pszczelej Woli</t>
  </si>
  <si>
    <t>kleina</t>
  </si>
  <si>
    <t>papa+blacha</t>
  </si>
  <si>
    <t>Otwarte strefy aktywności - siłaownia plenerowa i strefa relaksu w Borkowiźnie</t>
  </si>
  <si>
    <t>Otwarte strefy aktywności - siłaownia plenerowa i strefa relaksu w Piotrowicach</t>
  </si>
  <si>
    <t>Ujęcie wody z wyposażeniem w Strzyżewicach</t>
  </si>
  <si>
    <t>Ujęcie wody z wyposażeniem w Pszczelej Woli</t>
  </si>
  <si>
    <t>Fontanna</t>
  </si>
  <si>
    <t>Oświetlene na terenie Gminy</t>
  </si>
  <si>
    <t>Plac zabaw Szkoła w Rechcie</t>
  </si>
  <si>
    <t>Urządzenia fitnes biegacz</t>
  </si>
  <si>
    <t>Urządzenia fitnes orbitek</t>
  </si>
  <si>
    <t>Urządzenia fitnes twister podwójny</t>
  </si>
  <si>
    <t>Urządzenia fitnes wyciąg górny</t>
  </si>
  <si>
    <t>Plac zabaw dla dzici w Osmolicach Pierwszych</t>
  </si>
  <si>
    <t>Altana integracyjna</t>
  </si>
  <si>
    <t>Sprzęt elektroniczny starsze niż 7 lat</t>
  </si>
  <si>
    <t>Zdodnie z przepisami p. poż.  hydranty zewnętrzne 1 szt. , gasnice szt. 1</t>
  </si>
  <si>
    <t>Budynek magazynowy dz. 804/30 PSZOK</t>
  </si>
  <si>
    <t>Budynek remizy w Pszczelej Woli</t>
  </si>
  <si>
    <t>Budynek mieszkalno usługowy w Piotrowicach</t>
  </si>
  <si>
    <t>Ośrodek Pomocy Społecznej</t>
  </si>
  <si>
    <t>Brak budynków na sumy stałe</t>
  </si>
  <si>
    <t>Centrum Kultury i Promocji</t>
  </si>
  <si>
    <t>Zdodnie z przepisami p. poż. Gasnice szt. 8</t>
  </si>
  <si>
    <t>Zdodnie z przepisami p. poż. Gasnice szt. 2</t>
  </si>
  <si>
    <t>Centrale i faxy*</t>
  </si>
  <si>
    <t>Zestawy komputerowe stacjonarne dla gospodarstw domowych*</t>
  </si>
  <si>
    <t>Infrastruktura internetu szerokopasmowego dla Urzedu Gminy i jednostej orgnizacyjnych gminy wraz z urządzeniami</t>
  </si>
  <si>
    <t>Budynek magazynowy dz. 804/30 (zbożowy)</t>
  </si>
  <si>
    <t xml:space="preserve">Budynek magazynowy (warsztat) dz. 804/30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</si>
</sst>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zł&quot;"/>
    <numFmt numFmtId="165" formatCode="#,##0.00\ [$zł-415];[Red]\-#,##0.00\ [$zł-415]"/>
    <numFmt numFmtId="166" formatCode="_-* #,##0.00&quot; zł&quot;_-;\-* #,##0.00&quot; zł&quot;_-;_-* \-??&quot; zł&quot;_-;_-@_-"/>
    <numFmt numFmtId="167" formatCode="#,##0.00\ &quot;zł&quot;"/>
  </numFmts>
  <fonts count="3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1"/>
      <color indexed="10"/>
      <name val="Times New Roman"/>
      <family val="1"/>
      <charset val="238"/>
    </font>
    <font>
      <sz val="8"/>
      <name val="Calibri"/>
      <family val="2"/>
      <charset val="238"/>
    </font>
    <font>
      <sz val="10"/>
      <color indexed="10"/>
      <name val="Arial Narrow"/>
      <family val="2"/>
      <charset val="238"/>
    </font>
    <font>
      <b/>
      <sz val="9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  <font>
      <sz val="10"/>
      <color rgb="FF0070C0"/>
      <name val="Times New Roman"/>
      <family val="1"/>
      <charset val="238"/>
    </font>
    <font>
      <sz val="10"/>
      <name val="Cambria"/>
      <family val="1"/>
      <charset val="238"/>
      <scheme val="major"/>
    </font>
    <font>
      <b/>
      <vertAlign val="superscript"/>
      <sz val="10"/>
      <name val="Arial Narrow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16" fillId="20" borderId="1" applyNumberFormat="0" applyAlignment="0" applyProtection="0"/>
    <xf numFmtId="9" fontId="4" fillId="0" borderId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23" borderId="9" applyNumberFormat="0" applyAlignment="0" applyProtection="0"/>
    <xf numFmtId="44" fontId="1" fillId="0" borderId="0" applyFont="0" applyFill="0" applyBorder="0" applyAlignment="0" applyProtection="0"/>
    <xf numFmtId="166" fontId="4" fillId="0" borderId="0" applyFill="0" applyBorder="0" applyAlignment="0" applyProtection="0"/>
    <xf numFmtId="0" fontId="21" fillId="3" borderId="0" applyNumberFormat="0" applyBorder="0" applyAlignment="0" applyProtection="0"/>
  </cellStyleXfs>
  <cellXfs count="214">
    <xf numFmtId="0" fontId="0" fillId="0" borderId="0" xfId="0"/>
    <xf numFmtId="0" fontId="22" fillId="0" borderId="0" xfId="0" applyFont="1"/>
    <xf numFmtId="0" fontId="24" fillId="0" borderId="0" xfId="0" applyFont="1"/>
    <xf numFmtId="0" fontId="0" fillId="0" borderId="0" xfId="0" applyAlignment="1">
      <alignment horizontal="center"/>
    </xf>
    <xf numFmtId="0" fontId="25" fillId="0" borderId="0" xfId="0" applyFont="1"/>
    <xf numFmtId="44" fontId="3" fillId="0" borderId="10" xfId="43" applyFont="1" applyFill="1" applyBorder="1" applyAlignment="1" applyProtection="1">
      <alignment horizontal="right" wrapText="1"/>
      <protection locked="0"/>
    </xf>
    <xf numFmtId="0" fontId="3" fillId="25" borderId="10" xfId="35" applyFont="1" applyFill="1" applyBorder="1" applyAlignment="1">
      <alignment wrapText="1"/>
    </xf>
    <xf numFmtId="0" fontId="27" fillId="0" borderId="0" xfId="0" applyFont="1"/>
    <xf numFmtId="0" fontId="3" fillId="0" borderId="12" xfId="35" applyFont="1" applyBorder="1" applyAlignment="1">
      <alignment horizontal="left"/>
    </xf>
    <xf numFmtId="49" fontId="27" fillId="0" borderId="0" xfId="0" applyNumberFormat="1" applyFont="1"/>
    <xf numFmtId="0" fontId="3" fillId="0" borderId="10" xfId="35" applyFont="1" applyBorder="1" applyAlignment="1">
      <alignment horizontal="left"/>
    </xf>
    <xf numFmtId="0" fontId="3" fillId="25" borderId="10" xfId="35" applyFont="1" applyFill="1" applyBorder="1" applyAlignment="1">
      <alignment horizontal="center" wrapText="1"/>
    </xf>
    <xf numFmtId="0" fontId="3" fillId="25" borderId="10" xfId="35" applyNumberFormat="1" applyFont="1" applyFill="1" applyBorder="1"/>
    <xf numFmtId="165" fontId="3" fillId="25" borderId="10" xfId="35" applyNumberFormat="1" applyFont="1" applyFill="1" applyBorder="1"/>
    <xf numFmtId="164" fontId="3" fillId="25" borderId="10" xfId="35" applyNumberFormat="1" applyFont="1" applyFill="1" applyBorder="1" applyAlignment="1">
      <alignment horizontal="center" wrapText="1"/>
    </xf>
    <xf numFmtId="164" fontId="3" fillId="25" borderId="10" xfId="35" applyNumberFormat="1" applyFont="1" applyFill="1" applyBorder="1"/>
    <xf numFmtId="0" fontId="3" fillId="25" borderId="11" xfId="35" applyFont="1" applyFill="1" applyBorder="1" applyAlignment="1">
      <alignment vertical="center" wrapText="1"/>
    </xf>
    <xf numFmtId="0" fontId="3" fillId="25" borderId="10" xfId="35" applyFont="1" applyFill="1" applyBorder="1" applyAlignment="1">
      <alignment horizontal="center"/>
    </xf>
    <xf numFmtId="164" fontId="3" fillId="25" borderId="10" xfId="35" applyNumberFormat="1" applyFont="1" applyFill="1" applyBorder="1" applyAlignment="1">
      <alignment horizontal="center"/>
    </xf>
    <xf numFmtId="0" fontId="3" fillId="0" borderId="0" xfId="0" applyFont="1"/>
    <xf numFmtId="0" fontId="25" fillId="0" borderId="0" xfId="0" applyFont="1" applyAlignment="1">
      <alignment wrapText="1"/>
    </xf>
    <xf numFmtId="49" fontId="25" fillId="0" borderId="0" xfId="0" applyNumberFormat="1" applyFont="1" applyAlignment="1">
      <alignment wrapText="1"/>
    </xf>
    <xf numFmtId="49" fontId="3" fillId="0" borderId="10" xfId="0" applyNumberFormat="1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left" wrapText="1"/>
    </xf>
    <xf numFmtId="0" fontId="27" fillId="25" borderId="0" xfId="0" applyFont="1" applyFill="1" applyAlignment="1">
      <alignment horizontal="right"/>
    </xf>
    <xf numFmtId="0" fontId="27" fillId="27" borderId="0" xfId="0" applyFont="1" applyFill="1" applyAlignment="1">
      <alignment horizontal="right"/>
    </xf>
    <xf numFmtId="0" fontId="2" fillId="0" borderId="17" xfId="35" applyFont="1" applyBorder="1" applyAlignment="1">
      <alignment vertical="top"/>
    </xf>
    <xf numFmtId="0" fontId="2" fillId="0" borderId="18" xfId="35" applyFont="1" applyBorder="1" applyAlignment="1">
      <alignment vertical="top"/>
    </xf>
    <xf numFmtId="0" fontId="2" fillId="0" borderId="19" xfId="35" applyFont="1" applyBorder="1" applyAlignment="1">
      <alignment vertical="top"/>
    </xf>
    <xf numFmtId="0" fontId="2" fillId="0" borderId="20" xfId="35" applyFont="1" applyBorder="1" applyAlignment="1">
      <alignment vertical="top"/>
    </xf>
    <xf numFmtId="44" fontId="2" fillId="0" borderId="21" xfId="43" applyFont="1" applyBorder="1" applyAlignment="1">
      <alignment vertical="top"/>
    </xf>
    <xf numFmtId="44" fontId="2" fillId="20" borderId="12" xfId="43" applyFont="1" applyFill="1" applyBorder="1" applyAlignment="1" applyProtection="1">
      <alignment horizontal="center" vertical="center"/>
    </xf>
    <xf numFmtId="44" fontId="3" fillId="0" borderId="12" xfId="43" applyFont="1" applyFill="1" applyBorder="1" applyAlignment="1" applyProtection="1">
      <alignment horizontal="right" vertical="top" wrapText="1"/>
      <protection locked="0"/>
    </xf>
    <xf numFmtId="44" fontId="2" fillId="0" borderId="22" xfId="43" applyFont="1" applyBorder="1" applyAlignment="1">
      <alignment vertical="top"/>
    </xf>
    <xf numFmtId="44" fontId="2" fillId="20" borderId="10" xfId="43" applyFont="1" applyFill="1" applyBorder="1" applyAlignment="1" applyProtection="1">
      <alignment horizontal="center" vertical="center"/>
    </xf>
    <xf numFmtId="0" fontId="25" fillId="0" borderId="10" xfId="0" applyFont="1" applyBorder="1"/>
    <xf numFmtId="0" fontId="26" fillId="26" borderId="15" xfId="0" applyFont="1" applyFill="1" applyBorder="1" applyAlignment="1">
      <alignment horizontal="left" wrapText="1"/>
    </xf>
    <xf numFmtId="49" fontId="3" fillId="0" borderId="26" xfId="0" applyNumberFormat="1" applyFont="1" applyBorder="1" applyAlignment="1">
      <alignment horizontal="left" wrapText="1"/>
    </xf>
    <xf numFmtId="49" fontId="3" fillId="0" borderId="27" xfId="0" applyNumberFormat="1" applyFont="1" applyBorder="1" applyAlignment="1">
      <alignment horizontal="left" wrapText="1"/>
    </xf>
    <xf numFmtId="0" fontId="22" fillId="0" borderId="0" xfId="0" applyFont="1" applyBorder="1"/>
    <xf numFmtId="0" fontId="24" fillId="0" borderId="0" xfId="0" applyFont="1" applyAlignment="1">
      <alignment horizontal="center"/>
    </xf>
    <xf numFmtId="0" fontId="3" fillId="25" borderId="10" xfId="35" applyFont="1" applyFill="1" applyBorder="1" applyAlignment="1"/>
    <xf numFmtId="0" fontId="25" fillId="0" borderId="0" xfId="0" applyFont="1"/>
    <xf numFmtId="165" fontId="24" fillId="0" borderId="0" xfId="0" applyNumberFormat="1" applyFont="1"/>
    <xf numFmtId="167" fontId="0" fillId="0" borderId="0" xfId="0" applyNumberFormat="1" applyAlignment="1">
      <alignment horizontal="center"/>
    </xf>
    <xf numFmtId="0" fontId="31" fillId="0" borderId="0" xfId="0" applyFont="1"/>
    <xf numFmtId="0" fontId="3" fillId="0" borderId="10" xfId="0" applyFont="1" applyBorder="1" applyAlignment="1">
      <alignment wrapText="1"/>
    </xf>
    <xf numFmtId="0" fontId="23" fillId="0" borderId="13" xfId="0" applyFont="1" applyBorder="1" applyAlignment="1">
      <alignment horizontal="center" wrapText="1"/>
    </xf>
    <xf numFmtId="0" fontId="30" fillId="24" borderId="12" xfId="0" applyFont="1" applyFill="1" applyBorder="1" applyAlignment="1">
      <alignment horizontal="center" wrapText="1"/>
    </xf>
    <xf numFmtId="0" fontId="3" fillId="0" borderId="33" xfId="0" applyFont="1" applyBorder="1" applyAlignment="1">
      <alignment horizontal="left" wrapText="1"/>
    </xf>
    <xf numFmtId="49" fontId="3" fillId="0" borderId="33" xfId="0" applyNumberFormat="1" applyFont="1" applyBorder="1" applyAlignment="1">
      <alignment horizontal="left" wrapText="1"/>
    </xf>
    <xf numFmtId="49" fontId="25" fillId="0" borderId="33" xfId="0" applyNumberFormat="1" applyFont="1" applyBorder="1" applyAlignment="1">
      <alignment horizontal="left" wrapText="1"/>
    </xf>
    <xf numFmtId="0" fontId="3" fillId="0" borderId="33" xfId="0" applyFont="1" applyBorder="1" applyAlignment="1">
      <alignment horizontal="left"/>
    </xf>
    <xf numFmtId="0" fontId="3" fillId="25" borderId="33" xfId="35" applyFont="1" applyFill="1" applyBorder="1" applyAlignment="1">
      <alignment horizontal="left" wrapText="1"/>
    </xf>
    <xf numFmtId="0" fontId="3" fillId="0" borderId="33" xfId="0" applyFont="1" applyBorder="1"/>
    <xf numFmtId="44" fontId="3" fillId="0" borderId="33" xfId="43" applyFont="1" applyFill="1" applyBorder="1" applyAlignment="1" applyProtection="1">
      <alignment horizontal="right" wrapText="1"/>
      <protection locked="0"/>
    </xf>
    <xf numFmtId="0" fontId="3" fillId="0" borderId="10" xfId="0" applyFont="1" applyBorder="1"/>
    <xf numFmtId="0" fontId="3" fillId="25" borderId="29" xfId="35" applyFont="1" applyFill="1" applyBorder="1" applyAlignment="1">
      <alignment vertical="center" wrapText="1"/>
    </xf>
    <xf numFmtId="49" fontId="3" fillId="0" borderId="42" xfId="0" applyNumberFormat="1" applyFont="1" applyBorder="1" applyAlignment="1">
      <alignment horizontal="left" wrapText="1"/>
    </xf>
    <xf numFmtId="49" fontId="25" fillId="0" borderId="42" xfId="0" applyNumberFormat="1" applyFont="1" applyBorder="1" applyAlignment="1">
      <alignment horizontal="left" wrapText="1"/>
    </xf>
    <xf numFmtId="0" fontId="3" fillId="0" borderId="31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29" fillId="0" borderId="23" xfId="0" applyFont="1" applyBorder="1" applyAlignment="1">
      <alignment horizontal="left" wrapText="1"/>
    </xf>
    <xf numFmtId="49" fontId="3" fillId="0" borderId="23" xfId="0" applyNumberFormat="1" applyFont="1" applyBorder="1" applyAlignment="1">
      <alignment horizontal="left" wrapText="1"/>
    </xf>
    <xf numFmtId="49" fontId="3" fillId="0" borderId="43" xfId="0" applyNumberFormat="1" applyFont="1" applyBorder="1" applyAlignment="1">
      <alignment horizontal="left" wrapText="1"/>
    </xf>
    <xf numFmtId="0" fontId="26" fillId="26" borderId="34" xfId="0" applyFont="1" applyFill="1" applyBorder="1" applyAlignment="1">
      <alignment horizontal="left" wrapText="1"/>
    </xf>
    <xf numFmtId="49" fontId="26" fillId="26" borderId="34" xfId="0" applyNumberFormat="1" applyFont="1" applyFill="1" applyBorder="1" applyAlignment="1">
      <alignment horizontal="left" wrapText="1"/>
    </xf>
    <xf numFmtId="49" fontId="26" fillId="26" borderId="30" xfId="0" applyNumberFormat="1" applyFont="1" applyFill="1" applyBorder="1" applyAlignment="1">
      <alignment horizontal="left" wrapText="1"/>
    </xf>
    <xf numFmtId="0" fontId="3" fillId="25" borderId="10" xfId="35" applyFont="1" applyFill="1" applyBorder="1" applyAlignment="1">
      <alignment horizontal="center" vertical="center" wrapText="1"/>
    </xf>
    <xf numFmtId="0" fontId="2" fillId="20" borderId="10" xfId="35" applyFont="1" applyFill="1" applyBorder="1" applyAlignment="1">
      <alignment horizontal="center" vertical="center"/>
    </xf>
    <xf numFmtId="0" fontId="2" fillId="20" borderId="12" xfId="35" applyFont="1" applyFill="1" applyBorder="1" applyAlignment="1">
      <alignment horizontal="center" vertical="center"/>
    </xf>
    <xf numFmtId="0" fontId="32" fillId="25" borderId="10" xfId="35" applyFont="1" applyFill="1" applyBorder="1" applyAlignment="1">
      <alignment horizontal="center"/>
    </xf>
    <xf numFmtId="0" fontId="32" fillId="25" borderId="10" xfId="35" applyFont="1" applyFill="1" applyBorder="1" applyAlignment="1">
      <alignment horizontal="center" wrapText="1"/>
    </xf>
    <xf numFmtId="164" fontId="32" fillId="25" borderId="10" xfId="35" applyNumberFormat="1" applyFont="1" applyFill="1" applyBorder="1" applyAlignment="1">
      <alignment horizontal="center" wrapText="1"/>
    </xf>
    <xf numFmtId="164" fontId="32" fillId="25" borderId="10" xfId="35" applyNumberFormat="1" applyFont="1" applyFill="1" applyBorder="1"/>
    <xf numFmtId="164" fontId="32" fillId="25" borderId="10" xfId="35" applyNumberFormat="1" applyFont="1" applyFill="1" applyBorder="1" applyAlignment="1">
      <alignment horizontal="center"/>
    </xf>
    <xf numFmtId="0" fontId="32" fillId="25" borderId="10" xfId="35" applyNumberFormat="1" applyFont="1" applyFill="1" applyBorder="1"/>
    <xf numFmtId="0" fontId="32" fillId="25" borderId="10" xfId="35" applyFont="1" applyFill="1" applyBorder="1" applyAlignment="1">
      <alignment wrapText="1"/>
    </xf>
    <xf numFmtId="49" fontId="32" fillId="0" borderId="0" xfId="0" applyNumberFormat="1" applyFont="1" applyAlignment="1">
      <alignment horizontal="left"/>
    </xf>
    <xf numFmtId="0" fontId="32" fillId="0" borderId="0" xfId="0" applyFont="1"/>
    <xf numFmtId="44" fontId="32" fillId="0" borderId="0" xfId="0" applyNumberFormat="1" applyFont="1"/>
    <xf numFmtId="44" fontId="32" fillId="0" borderId="0" xfId="43" applyFont="1"/>
    <xf numFmtId="43" fontId="32" fillId="0" borderId="0" xfId="0" applyNumberFormat="1" applyFont="1"/>
    <xf numFmtId="4" fontId="3" fillId="0" borderId="10" xfId="0" applyNumberFormat="1" applyFont="1" applyBorder="1"/>
    <xf numFmtId="0" fontId="24" fillId="0" borderId="10" xfId="0" applyFont="1" applyFill="1" applyBorder="1"/>
    <xf numFmtId="49" fontId="3" fillId="0" borderId="0" xfId="0" applyNumberFormat="1" applyFont="1" applyAlignment="1">
      <alignment horizontal="left"/>
    </xf>
    <xf numFmtId="0" fontId="24" fillId="0" borderId="10" xfId="0" applyFont="1" applyBorder="1"/>
    <xf numFmtId="44" fontId="3" fillId="0" borderId="10" xfId="43" applyFont="1" applyBorder="1"/>
    <xf numFmtId="0" fontId="3" fillId="25" borderId="10" xfId="35" applyFont="1" applyFill="1" applyBorder="1" applyAlignment="1">
      <alignment horizontal="center" vertical="center"/>
    </xf>
    <xf numFmtId="0" fontId="31" fillId="0" borderId="10" xfId="0" applyFont="1" applyBorder="1" applyAlignment="1">
      <alignment wrapText="1"/>
    </xf>
    <xf numFmtId="165" fontId="31" fillId="0" borderId="0" xfId="0" applyNumberFormat="1" applyFont="1"/>
    <xf numFmtId="0" fontId="2" fillId="0" borderId="0" xfId="0" applyFont="1"/>
    <xf numFmtId="44" fontId="3" fillId="0" borderId="0" xfId="43" applyFont="1"/>
    <xf numFmtId="0" fontId="31" fillId="0" borderId="10" xfId="0" applyFont="1" applyFill="1" applyBorder="1" applyAlignment="1">
      <alignment wrapText="1"/>
    </xf>
    <xf numFmtId="0" fontId="33" fillId="0" borderId="39" xfId="0" applyFont="1" applyBorder="1" applyAlignment="1">
      <alignment horizontal="center" wrapText="1"/>
    </xf>
    <xf numFmtId="0" fontId="34" fillId="29" borderId="10" xfId="0" applyFont="1" applyFill="1" applyBorder="1" applyAlignment="1">
      <alignment horizontal="center" vertical="center"/>
    </xf>
    <xf numFmtId="0" fontId="33" fillId="0" borderId="39" xfId="0" applyFont="1" applyBorder="1" applyAlignment="1">
      <alignment horizontal="center" vertical="center" wrapText="1"/>
    </xf>
    <xf numFmtId="0" fontId="33" fillId="25" borderId="39" xfId="0" applyFont="1" applyFill="1" applyBorder="1" applyAlignment="1">
      <alignment horizontal="center" wrapText="1"/>
    </xf>
    <xf numFmtId="0" fontId="24" fillId="30" borderId="0" xfId="0" applyFont="1" applyFill="1"/>
    <xf numFmtId="0" fontId="23" fillId="0" borderId="16" xfId="0" applyFont="1" applyBorder="1" applyAlignment="1">
      <alignment horizontal="center"/>
    </xf>
    <xf numFmtId="0" fontId="23" fillId="25" borderId="39" xfId="0" applyFont="1" applyFill="1" applyBorder="1" applyAlignment="1">
      <alignment horizontal="center" wrapText="1"/>
    </xf>
    <xf numFmtId="0" fontId="23" fillId="29" borderId="46" xfId="0" applyFont="1" applyFill="1" applyBorder="1" applyAlignment="1">
      <alignment horizontal="center" vertical="center" wrapText="1"/>
    </xf>
    <xf numFmtId="0" fontId="23" fillId="29" borderId="46" xfId="0" applyFont="1" applyFill="1" applyBorder="1" applyAlignment="1">
      <alignment horizontal="center" wrapText="1"/>
    </xf>
    <xf numFmtId="0" fontId="23" fillId="29" borderId="46" xfId="0" applyFont="1" applyFill="1" applyBorder="1" applyAlignment="1">
      <alignment horizontal="center" vertical="center"/>
    </xf>
    <xf numFmtId="0" fontId="23" fillId="29" borderId="46" xfId="0" applyFont="1" applyFill="1" applyBorder="1" applyAlignment="1">
      <alignment horizontal="justify" vertical="center"/>
    </xf>
    <xf numFmtId="0" fontId="23" fillId="25" borderId="46" xfId="0" applyFont="1" applyFill="1" applyBorder="1" applyAlignment="1">
      <alignment horizontal="center" wrapText="1"/>
    </xf>
    <xf numFmtId="49" fontId="23" fillId="0" borderId="16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39" xfId="0" applyFont="1" applyBorder="1" applyAlignment="1">
      <alignment horizontal="center"/>
    </xf>
    <xf numFmtId="49" fontId="23" fillId="0" borderId="39" xfId="0" applyNumberFormat="1" applyFont="1" applyBorder="1" applyAlignment="1">
      <alignment horizontal="center"/>
    </xf>
    <xf numFmtId="0" fontId="23" fillId="0" borderId="39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3" fillId="0" borderId="46" xfId="0" applyFont="1" applyBorder="1" applyAlignment="1">
      <alignment horizontal="center"/>
    </xf>
    <xf numFmtId="49" fontId="23" fillId="0" borderId="46" xfId="0" applyNumberFormat="1" applyFont="1" applyBorder="1" applyAlignment="1">
      <alignment horizontal="center"/>
    </xf>
    <xf numFmtId="0" fontId="23" fillId="0" borderId="46" xfId="0" applyFont="1" applyBorder="1" applyAlignment="1">
      <alignment horizontal="center" wrapText="1"/>
    </xf>
    <xf numFmtId="0" fontId="23" fillId="0" borderId="39" xfId="0" applyFont="1" applyBorder="1" applyAlignment="1">
      <alignment horizontal="center" vertical="center"/>
    </xf>
    <xf numFmtId="167" fontId="23" fillId="0" borderId="39" xfId="0" applyNumberFormat="1" applyFont="1" applyBorder="1" applyAlignment="1">
      <alignment horizontal="center" vertical="center"/>
    </xf>
    <xf numFmtId="167" fontId="23" fillId="0" borderId="39" xfId="0" applyNumberFormat="1" applyFont="1" applyBorder="1" applyAlignment="1">
      <alignment vertical="center" wrapText="1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39" xfId="0" applyFont="1" applyBorder="1" applyAlignment="1">
      <alignment horizontal="justify" vertical="center"/>
    </xf>
    <xf numFmtId="0" fontId="23" fillId="0" borderId="39" xfId="0" applyFont="1" applyBorder="1" applyAlignment="1">
      <alignment horizontal="center" vertical="center" wrapText="1"/>
    </xf>
    <xf numFmtId="8" fontId="23" fillId="0" borderId="39" xfId="0" applyNumberFormat="1" applyFont="1" applyBorder="1" applyAlignment="1">
      <alignment horizontal="center" vertical="center"/>
    </xf>
    <xf numFmtId="167" fontId="23" fillId="25" borderId="46" xfId="0" applyNumberFormat="1" applyFont="1" applyFill="1" applyBorder="1" applyAlignment="1">
      <alignment horizontal="center"/>
    </xf>
    <xf numFmtId="167" fontId="24" fillId="0" borderId="0" xfId="0" applyNumberFormat="1" applyFont="1"/>
    <xf numFmtId="167" fontId="22" fillId="0" borderId="0" xfId="0" applyNumberFormat="1" applyFont="1"/>
    <xf numFmtId="8" fontId="24" fillId="0" borderId="0" xfId="0" applyNumberFormat="1" applyFont="1" applyAlignment="1">
      <alignment horizontal="center"/>
    </xf>
    <xf numFmtId="8" fontId="22" fillId="0" borderId="0" xfId="0" applyNumberFormat="1" applyFont="1"/>
    <xf numFmtId="0" fontId="3" fillId="25" borderId="10" xfId="35" applyFont="1" applyFill="1" applyBorder="1" applyAlignment="1">
      <alignment horizontal="center" vertical="center" wrapText="1"/>
    </xf>
    <xf numFmtId="0" fontId="2" fillId="20" borderId="10" xfId="35" applyFont="1" applyFill="1" applyBorder="1" applyAlignment="1">
      <alignment horizontal="center" vertical="center"/>
    </xf>
    <xf numFmtId="164" fontId="2" fillId="20" borderId="10" xfId="44" applyNumberFormat="1" applyFont="1" applyFill="1" applyBorder="1" applyAlignment="1" applyProtection="1">
      <alignment horizontal="center" vertical="center" wrapText="1"/>
    </xf>
    <xf numFmtId="0" fontId="31" fillId="0" borderId="10" xfId="0" applyFont="1" applyBorder="1"/>
    <xf numFmtId="0" fontId="2" fillId="28" borderId="10" xfId="35" applyFont="1" applyFill="1" applyBorder="1" applyAlignment="1">
      <alignment horizontal="center" wrapText="1"/>
    </xf>
    <xf numFmtId="164" fontId="2" fillId="28" borderId="10" xfId="35" applyNumberFormat="1" applyFont="1" applyFill="1" applyBorder="1" applyAlignment="1">
      <alignment horizontal="center" wrapText="1"/>
    </xf>
    <xf numFmtId="167" fontId="3" fillId="0" borderId="10" xfId="0" applyNumberFormat="1" applyFont="1" applyBorder="1" applyAlignment="1">
      <alignment horizontal="right" wrapText="1"/>
    </xf>
    <xf numFmtId="8" fontId="3" fillId="0" borderId="10" xfId="0" applyNumberFormat="1" applyFont="1" applyBorder="1" applyAlignment="1">
      <alignment horizontal="right" wrapText="1"/>
    </xf>
    <xf numFmtId="0" fontId="3" fillId="0" borderId="48" xfId="0" applyFont="1" applyBorder="1" applyAlignment="1">
      <alignment wrapText="1"/>
    </xf>
    <xf numFmtId="0" fontId="3" fillId="25" borderId="48" xfId="35" applyFont="1" applyFill="1" applyBorder="1" applyAlignment="1">
      <alignment horizontal="center"/>
    </xf>
    <xf numFmtId="0" fontId="3" fillId="25" borderId="48" xfId="35" applyFont="1" applyFill="1" applyBorder="1" applyAlignment="1">
      <alignment horizontal="center" wrapText="1"/>
    </xf>
    <xf numFmtId="164" fontId="3" fillId="25" borderId="48" xfId="35" applyNumberFormat="1" applyFont="1" applyFill="1" applyBorder="1" applyAlignment="1">
      <alignment horizontal="center" wrapText="1"/>
    </xf>
    <xf numFmtId="164" fontId="3" fillId="25" borderId="48" xfId="35" applyNumberFormat="1" applyFont="1" applyFill="1" applyBorder="1"/>
    <xf numFmtId="164" fontId="3" fillId="25" borderId="48" xfId="35" applyNumberFormat="1" applyFont="1" applyFill="1" applyBorder="1" applyAlignment="1">
      <alignment horizontal="center"/>
    </xf>
    <xf numFmtId="0" fontId="3" fillId="25" borderId="48" xfId="35" applyNumberFormat="1" applyFont="1" applyFill="1" applyBorder="1"/>
    <xf numFmtId="167" fontId="3" fillId="0" borderId="48" xfId="0" applyNumberFormat="1" applyFont="1" applyBorder="1" applyAlignment="1">
      <alignment horizontal="right" wrapText="1"/>
    </xf>
    <xf numFmtId="0" fontId="31" fillId="0" borderId="48" xfId="0" applyFont="1" applyBorder="1"/>
    <xf numFmtId="8" fontId="3" fillId="0" borderId="48" xfId="0" applyNumberFormat="1" applyFont="1" applyBorder="1" applyAlignment="1">
      <alignment horizontal="right" wrapText="1"/>
    </xf>
    <xf numFmtId="49" fontId="3" fillId="0" borderId="48" xfId="0" applyNumberFormat="1" applyFont="1" applyBorder="1" applyAlignment="1">
      <alignment horizontal="left" wrapText="1"/>
    </xf>
    <xf numFmtId="49" fontId="25" fillId="0" borderId="48" xfId="0" applyNumberFormat="1" applyFont="1" applyBorder="1" applyAlignment="1">
      <alignment horizontal="left" wrapText="1"/>
    </xf>
    <xf numFmtId="0" fontId="3" fillId="0" borderId="48" xfId="0" applyFont="1" applyBorder="1" applyAlignment="1">
      <alignment horizontal="left" wrapText="1"/>
    </xf>
    <xf numFmtId="0" fontId="25" fillId="0" borderId="48" xfId="0" applyFont="1" applyBorder="1" applyAlignment="1">
      <alignment wrapText="1"/>
    </xf>
    <xf numFmtId="0" fontId="3" fillId="0" borderId="48" xfId="0" applyFont="1" applyBorder="1" applyAlignment="1">
      <alignment vertical="center" wrapText="1"/>
    </xf>
    <xf numFmtId="0" fontId="3" fillId="0" borderId="10" xfId="0" applyFont="1" applyBorder="1" applyAlignment="1">
      <alignment horizontal="right" wrapText="1"/>
    </xf>
    <xf numFmtId="0" fontId="2" fillId="20" borderId="12" xfId="35" applyFont="1" applyFill="1" applyBorder="1" applyAlignment="1">
      <alignment horizontal="center" vertical="center"/>
    </xf>
    <xf numFmtId="0" fontId="23" fillId="29" borderId="39" xfId="0" applyFont="1" applyFill="1" applyBorder="1" applyAlignment="1">
      <alignment horizontal="center" vertical="center"/>
    </xf>
    <xf numFmtId="0" fontId="23" fillId="29" borderId="16" xfId="0" applyFont="1" applyFill="1" applyBorder="1" applyAlignment="1">
      <alignment horizontal="center"/>
    </xf>
    <xf numFmtId="0" fontId="23" fillId="29" borderId="39" xfId="0" applyFont="1" applyFill="1" applyBorder="1" applyAlignment="1">
      <alignment horizontal="center" wrapText="1"/>
    </xf>
    <xf numFmtId="0" fontId="3" fillId="25" borderId="10" xfId="35" applyFont="1" applyFill="1" applyBorder="1" applyAlignment="1">
      <alignment vertical="center" wrapText="1"/>
    </xf>
    <xf numFmtId="0" fontId="3" fillId="25" borderId="10" xfId="35" applyNumberFormat="1" applyFont="1" applyFill="1" applyBorder="1" applyAlignment="1">
      <alignment horizontal="center" vertical="center" wrapText="1"/>
    </xf>
    <xf numFmtId="164" fontId="3" fillId="25" borderId="10" xfId="35" applyNumberFormat="1" applyFont="1" applyFill="1" applyBorder="1" applyAlignment="1">
      <alignment horizontal="center" vertical="center" wrapText="1"/>
    </xf>
    <xf numFmtId="164" fontId="3" fillId="25" borderId="10" xfId="35" applyNumberFormat="1" applyFont="1" applyFill="1" applyBorder="1" applyAlignment="1">
      <alignment vertical="center"/>
    </xf>
    <xf numFmtId="164" fontId="3" fillId="25" borderId="10" xfId="35" applyNumberFormat="1" applyFont="1" applyFill="1" applyBorder="1" applyAlignment="1">
      <alignment horizontal="center" vertical="center"/>
    </xf>
    <xf numFmtId="0" fontId="3" fillId="25" borderId="10" xfId="44" applyNumberFormat="1" applyFont="1" applyFill="1" applyBorder="1" applyAlignment="1" applyProtection="1">
      <alignment horizontal="center" vertical="center" wrapText="1"/>
    </xf>
    <xf numFmtId="165" fontId="3" fillId="25" borderId="10" xfId="44" applyNumberFormat="1" applyFont="1" applyFill="1" applyBorder="1" applyAlignment="1" applyProtection="1">
      <alignment horizontal="center" vertical="center" wrapText="1"/>
    </xf>
    <xf numFmtId="44" fontId="3" fillId="0" borderId="33" xfId="43" applyFont="1" applyBorder="1"/>
    <xf numFmtId="44" fontId="3" fillId="0" borderId="12" xfId="43" applyFont="1" applyFill="1" applyBorder="1" applyAlignment="1" applyProtection="1">
      <alignment horizontal="right" wrapText="1"/>
      <protection locked="0"/>
    </xf>
    <xf numFmtId="44" fontId="3" fillId="0" borderId="39" xfId="43" applyFont="1" applyFill="1" applyBorder="1" applyAlignment="1" applyProtection="1">
      <alignment horizontal="right" wrapText="1"/>
      <protection locked="0"/>
    </xf>
    <xf numFmtId="0" fontId="3" fillId="25" borderId="10" xfId="35" applyFont="1" applyFill="1" applyBorder="1" applyAlignment="1">
      <alignment horizontal="center" vertical="center" wrapText="1"/>
    </xf>
    <xf numFmtId="0" fontId="3" fillId="29" borderId="10" xfId="35" applyFont="1" applyFill="1" applyBorder="1" applyAlignment="1">
      <alignment horizontal="center" vertical="center" wrapText="1"/>
    </xf>
    <xf numFmtId="0" fontId="2" fillId="20" borderId="12" xfId="35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wrapText="1"/>
    </xf>
    <xf numFmtId="0" fontId="2" fillId="20" borderId="10" xfId="35" applyFont="1" applyFill="1" applyBorder="1" applyAlignment="1">
      <alignment horizontal="center" vertical="center" wrapText="1"/>
    </xf>
    <xf numFmtId="0" fontId="3" fillId="25" borderId="10" xfId="35" applyFont="1" applyFill="1" applyBorder="1" applyAlignment="1">
      <alignment horizontal="center" vertical="center" wrapText="1"/>
    </xf>
    <xf numFmtId="0" fontId="3" fillId="25" borderId="48" xfId="35" applyFont="1" applyFill="1" applyBorder="1" applyAlignment="1">
      <alignment horizontal="center" vertical="center" wrapText="1"/>
    </xf>
    <xf numFmtId="165" fontId="2" fillId="20" borderId="10" xfId="44" applyNumberFormat="1" applyFont="1" applyFill="1" applyBorder="1" applyAlignment="1" applyProtection="1">
      <alignment horizontal="center" vertical="center" wrapText="1"/>
    </xf>
    <xf numFmtId="164" fontId="2" fillId="20" borderId="10" xfId="44" applyNumberFormat="1" applyFont="1" applyFill="1" applyBorder="1" applyAlignment="1" applyProtection="1">
      <alignment horizontal="center" vertical="center" wrapText="1"/>
    </xf>
    <xf numFmtId="4" fontId="2" fillId="20" borderId="10" xfId="35" applyNumberFormat="1" applyFont="1" applyFill="1" applyBorder="1" applyAlignment="1">
      <alignment horizontal="center" vertical="center" wrapText="1"/>
    </xf>
    <xf numFmtId="0" fontId="2" fillId="25" borderId="10" xfId="35" applyFont="1" applyFill="1" applyBorder="1" applyAlignment="1">
      <alignment horizontal="center" vertical="center" wrapText="1"/>
    </xf>
    <xf numFmtId="0" fontId="3" fillId="29" borderId="10" xfId="35" applyFont="1" applyFill="1" applyBorder="1" applyAlignment="1">
      <alignment horizontal="center" vertical="center" wrapText="1"/>
    </xf>
    <xf numFmtId="0" fontId="3" fillId="25" borderId="42" xfId="35" applyFont="1" applyFill="1" applyBorder="1" applyAlignment="1">
      <alignment horizontal="center" vertical="center" wrapText="1"/>
    </xf>
    <xf numFmtId="0" fontId="3" fillId="25" borderId="29" xfId="35" applyFont="1" applyFill="1" applyBorder="1" applyAlignment="1">
      <alignment horizontal="center" vertical="center" wrapText="1"/>
    </xf>
    <xf numFmtId="0" fontId="3" fillId="25" borderId="11" xfId="35" applyFont="1" applyFill="1" applyBorder="1" applyAlignment="1">
      <alignment horizontal="center" vertical="center" wrapText="1"/>
    </xf>
    <xf numFmtId="0" fontId="3" fillId="0" borderId="10" xfId="35" applyFont="1" applyBorder="1" applyAlignment="1">
      <alignment horizontal="left" vertical="top" wrapText="1"/>
    </xf>
    <xf numFmtId="0" fontId="3" fillId="0" borderId="25" xfId="35" applyFont="1" applyBorder="1" applyAlignment="1">
      <alignment horizontal="left" vertical="top" wrapText="1"/>
    </xf>
    <xf numFmtId="0" fontId="3" fillId="0" borderId="24" xfId="35" applyFont="1" applyBorder="1" applyAlignment="1">
      <alignment horizontal="left" vertical="top" wrapText="1"/>
    </xf>
    <xf numFmtId="0" fontId="3" fillId="0" borderId="40" xfId="35" applyFont="1" applyBorder="1" applyAlignment="1">
      <alignment horizontal="left" vertical="top" wrapText="1"/>
    </xf>
    <xf numFmtId="0" fontId="3" fillId="0" borderId="41" xfId="35" applyFont="1" applyBorder="1" applyAlignment="1">
      <alignment horizontal="left" vertical="top" wrapText="1"/>
    </xf>
    <xf numFmtId="0" fontId="3" fillId="0" borderId="10" xfId="35" applyFont="1" applyBorder="1" applyAlignment="1">
      <alignment vertical="top" wrapText="1"/>
    </xf>
    <xf numFmtId="0" fontId="3" fillId="0" borderId="36" xfId="35" applyFont="1" applyBorder="1" applyAlignment="1">
      <alignment horizontal="left" vertical="top" wrapText="1"/>
    </xf>
    <xf numFmtId="0" fontId="3" fillId="0" borderId="35" xfId="35" applyFont="1" applyBorder="1" applyAlignment="1">
      <alignment horizontal="left" vertical="top" wrapText="1"/>
    </xf>
    <xf numFmtId="0" fontId="3" fillId="0" borderId="37" xfId="35" applyFont="1" applyBorder="1" applyAlignment="1">
      <alignment horizontal="left" vertical="top" wrapText="1"/>
    </xf>
    <xf numFmtId="0" fontId="3" fillId="0" borderId="38" xfId="35" applyFont="1" applyBorder="1" applyAlignment="1">
      <alignment horizontal="left" vertical="top" wrapText="1"/>
    </xf>
    <xf numFmtId="0" fontId="3" fillId="0" borderId="12" xfId="35" applyFont="1" applyBorder="1" applyAlignment="1">
      <alignment vertical="top" wrapText="1"/>
    </xf>
    <xf numFmtId="0" fontId="2" fillId="20" borderId="12" xfId="35" applyFont="1" applyFill="1" applyBorder="1" applyAlignment="1">
      <alignment horizontal="center" vertical="center"/>
    </xf>
    <xf numFmtId="0" fontId="2" fillId="20" borderId="10" xfId="35" applyFont="1" applyFill="1" applyBorder="1" applyAlignment="1">
      <alignment horizontal="center" vertical="center"/>
    </xf>
    <xf numFmtId="0" fontId="3" fillId="0" borderId="17" xfId="35" applyFont="1" applyBorder="1" applyAlignment="1">
      <alignment vertical="top" wrapText="1"/>
    </xf>
    <xf numFmtId="0" fontId="3" fillId="0" borderId="21" xfId="35" applyFont="1" applyBorder="1" applyAlignment="1">
      <alignment vertical="top" wrapText="1"/>
    </xf>
    <xf numFmtId="0" fontId="3" fillId="0" borderId="48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wrapText="1"/>
    </xf>
    <xf numFmtId="0" fontId="3" fillId="0" borderId="26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25" borderId="49" xfId="35" applyFont="1" applyFill="1" applyBorder="1" applyAlignment="1">
      <alignment horizontal="center" vertical="center" wrapText="1"/>
    </xf>
    <xf numFmtId="0" fontId="3" fillId="0" borderId="40" xfId="35" applyFont="1" applyBorder="1" applyAlignment="1">
      <alignment horizontal="left"/>
    </xf>
    <xf numFmtId="0" fontId="3" fillId="0" borderId="44" xfId="35" applyFont="1" applyBorder="1" applyAlignment="1">
      <alignment vertical="top" wrapText="1"/>
    </xf>
    <xf numFmtId="44" fontId="3" fillId="0" borderId="41" xfId="43" applyFont="1" applyFill="1" applyBorder="1" applyAlignment="1" applyProtection="1">
      <alignment horizontal="right" wrapText="1"/>
      <protection locked="0"/>
    </xf>
    <xf numFmtId="0" fontId="3" fillId="0" borderId="17" xfId="35" applyFont="1" applyBorder="1" applyAlignment="1">
      <alignment horizontal="left" vertical="top" wrapText="1"/>
    </xf>
    <xf numFmtId="0" fontId="3" fillId="0" borderId="21" xfId="35" applyFont="1" applyBorder="1" applyAlignment="1">
      <alignment horizontal="left" vertical="top" wrapText="1"/>
    </xf>
    <xf numFmtId="166" fontId="3" fillId="0" borderId="0" xfId="0" applyNumberFormat="1" applyFont="1"/>
  </cellXfs>
  <cellStyles count="46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Walutowy" xfId="43" builtinId="4"/>
    <cellStyle name="Walutowy 2" xfId="44"/>
    <cellStyle name="Złe 2" xfId="4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tabSelected="1" zoomScaleNormal="100" workbookViewId="0">
      <pane xSplit="5" ySplit="1" topLeftCell="F3" activePane="bottomRight" state="frozen"/>
      <selection pane="topRight" activeCell="F1" sqref="F1"/>
      <selection pane="bottomLeft" activeCell="A2" sqref="A2"/>
      <selection pane="bottomRight" activeCell="A3" sqref="A3:A103"/>
    </sheetView>
  </sheetViews>
  <sheetFormatPr defaultRowHeight="15"/>
  <cols>
    <col min="2" max="2" width="14.140625" customWidth="1"/>
    <col min="3" max="3" width="66.28515625" customWidth="1"/>
    <col min="4" max="4" width="11.28515625" style="3" bestFit="1" customWidth="1"/>
    <col min="5" max="5" width="14.28515625" style="3" customWidth="1"/>
    <col min="6" max="6" width="15.140625" style="3" customWidth="1"/>
    <col min="7" max="7" width="13.42578125" style="3" customWidth="1"/>
    <col min="8" max="8" width="19.42578125" style="3" customWidth="1"/>
    <col min="9" max="9" width="8.7109375" style="40" bestFit="1" customWidth="1"/>
    <col min="10" max="10" width="17" style="3" hidden="1" customWidth="1"/>
    <col min="11" max="11" width="17" hidden="1" customWidth="1"/>
    <col min="12" max="12" width="16.7109375" bestFit="1" customWidth="1"/>
    <col min="13" max="13" width="15" style="3" customWidth="1"/>
    <col min="14" max="14" width="11.42578125" customWidth="1"/>
    <col min="15" max="16" width="14.85546875" hidden="1" customWidth="1"/>
    <col min="17" max="17" width="15.7109375" customWidth="1"/>
    <col min="18" max="18" width="17.28515625" customWidth="1"/>
  </cols>
  <sheetData>
    <row r="1" spans="1:17" s="45" customFormat="1" ht="47.25" customHeight="1">
      <c r="A1" s="170" t="s">
        <v>0</v>
      </c>
      <c r="B1" s="170" t="s">
        <v>1</v>
      </c>
      <c r="C1" s="170" t="s">
        <v>2</v>
      </c>
      <c r="D1" s="170" t="s">
        <v>3</v>
      </c>
      <c r="E1" s="175" t="s">
        <v>395</v>
      </c>
      <c r="F1" s="170" t="s">
        <v>4</v>
      </c>
      <c r="G1" s="170"/>
      <c r="H1" s="170"/>
      <c r="I1" s="170"/>
      <c r="J1" s="170" t="s">
        <v>25</v>
      </c>
      <c r="K1" s="170" t="s">
        <v>26</v>
      </c>
      <c r="L1" s="174" t="s">
        <v>27</v>
      </c>
      <c r="M1" s="130" t="s">
        <v>47</v>
      </c>
      <c r="N1" s="173" t="s">
        <v>5</v>
      </c>
      <c r="O1" s="174" t="s">
        <v>6</v>
      </c>
      <c r="P1" s="173" t="s">
        <v>7</v>
      </c>
      <c r="Q1" s="131"/>
    </row>
    <row r="2" spans="1:17" s="45" customFormat="1" ht="26.25">
      <c r="A2" s="170"/>
      <c r="B2" s="170"/>
      <c r="C2" s="170"/>
      <c r="D2" s="170"/>
      <c r="E2" s="170"/>
      <c r="F2" s="132" t="s">
        <v>8</v>
      </c>
      <c r="G2" s="133" t="s">
        <v>9</v>
      </c>
      <c r="H2" s="132" t="s">
        <v>10</v>
      </c>
      <c r="I2" s="132" t="s">
        <v>11</v>
      </c>
      <c r="J2" s="170"/>
      <c r="K2" s="170"/>
      <c r="L2" s="174"/>
      <c r="M2" s="130"/>
      <c r="N2" s="173"/>
      <c r="O2" s="174"/>
      <c r="P2" s="173"/>
      <c r="Q2" s="131"/>
    </row>
    <row r="3" spans="1:17" s="45" customFormat="1" ht="39">
      <c r="A3" s="171" t="s">
        <v>12</v>
      </c>
      <c r="B3" s="171" t="s">
        <v>109</v>
      </c>
      <c r="C3" s="46" t="s">
        <v>385</v>
      </c>
      <c r="D3" s="17"/>
      <c r="E3" s="17">
        <v>1084.8399999999999</v>
      </c>
      <c r="F3" s="11" t="s">
        <v>190</v>
      </c>
      <c r="G3" s="14" t="s">
        <v>191</v>
      </c>
      <c r="H3" s="14" t="s">
        <v>18</v>
      </c>
      <c r="I3" s="11" t="s">
        <v>51</v>
      </c>
      <c r="J3" s="11"/>
      <c r="K3" s="11"/>
      <c r="L3" s="15">
        <f>IF(O3&gt;P3,O3,P3)</f>
        <v>2169680</v>
      </c>
      <c r="M3" s="18" t="s">
        <v>58</v>
      </c>
      <c r="N3" s="12">
        <v>2000</v>
      </c>
      <c r="O3" s="15">
        <f>N3*E3</f>
        <v>2169680</v>
      </c>
      <c r="P3" s="134">
        <v>2169680</v>
      </c>
      <c r="Q3" s="131" t="s">
        <v>44</v>
      </c>
    </row>
    <row r="4" spans="1:17" s="45" customFormat="1">
      <c r="A4" s="171"/>
      <c r="B4" s="171"/>
      <c r="C4" s="46" t="s">
        <v>386</v>
      </c>
      <c r="D4" s="17"/>
      <c r="E4" s="17">
        <v>465</v>
      </c>
      <c r="F4" s="11" t="s">
        <v>193</v>
      </c>
      <c r="G4" s="14" t="s">
        <v>194</v>
      </c>
      <c r="H4" s="14" t="s">
        <v>18</v>
      </c>
      <c r="I4" s="11" t="s">
        <v>51</v>
      </c>
      <c r="J4" s="11"/>
      <c r="K4" s="11"/>
      <c r="L4" s="15">
        <f t="shared" ref="L4:L92" si="0">IF(O4&gt;P4,O4,P4)</f>
        <v>2500000</v>
      </c>
      <c r="M4" s="18" t="s">
        <v>58</v>
      </c>
      <c r="N4" s="12"/>
      <c r="O4" s="15">
        <f>N4*E4</f>
        <v>0</v>
      </c>
      <c r="P4" s="134">
        <v>2500000</v>
      </c>
      <c r="Q4" s="131" t="s">
        <v>44</v>
      </c>
    </row>
    <row r="5" spans="1:17" s="45" customFormat="1" ht="26.25">
      <c r="A5" s="171"/>
      <c r="B5" s="171"/>
      <c r="C5" s="46" t="s">
        <v>387</v>
      </c>
      <c r="D5" s="17"/>
      <c r="E5" s="17">
        <v>40</v>
      </c>
      <c r="F5" s="11" t="s">
        <v>196</v>
      </c>
      <c r="G5" s="14" t="s">
        <v>194</v>
      </c>
      <c r="H5" s="14" t="s">
        <v>18</v>
      </c>
      <c r="I5" s="11" t="s">
        <v>51</v>
      </c>
      <c r="J5" s="11"/>
      <c r="K5" s="11"/>
      <c r="L5" s="15">
        <f t="shared" si="0"/>
        <v>11808.81</v>
      </c>
      <c r="M5" s="18" t="s">
        <v>58</v>
      </c>
      <c r="N5" s="12"/>
      <c r="O5" s="15">
        <f>N5*E5</f>
        <v>0</v>
      </c>
      <c r="P5" s="134">
        <v>11808.81</v>
      </c>
      <c r="Q5" s="131" t="s">
        <v>44</v>
      </c>
    </row>
    <row r="6" spans="1:17" s="45" customFormat="1" ht="26.25">
      <c r="A6" s="171"/>
      <c r="B6" s="171"/>
      <c r="C6" s="46" t="s">
        <v>388</v>
      </c>
      <c r="D6" s="17"/>
      <c r="E6" s="17">
        <v>250</v>
      </c>
      <c r="F6" s="11" t="s">
        <v>197</v>
      </c>
      <c r="G6" s="14" t="s">
        <v>18</v>
      </c>
      <c r="H6" s="14" t="s">
        <v>53</v>
      </c>
      <c r="I6" s="11" t="s">
        <v>54</v>
      </c>
      <c r="J6" s="11"/>
      <c r="K6" s="11"/>
      <c r="L6" s="15">
        <f t="shared" si="0"/>
        <v>668301.53</v>
      </c>
      <c r="M6" s="18" t="s">
        <v>48</v>
      </c>
      <c r="N6" s="12"/>
      <c r="O6" s="15">
        <f>N6*E6</f>
        <v>0</v>
      </c>
      <c r="P6" s="134">
        <f>46960+621341.53</f>
        <v>668301.53</v>
      </c>
      <c r="Q6" s="131" t="s">
        <v>44</v>
      </c>
    </row>
    <row r="7" spans="1:17" s="45" customFormat="1" ht="26.25">
      <c r="A7" s="171"/>
      <c r="B7" s="171"/>
      <c r="C7" s="46" t="s">
        <v>389</v>
      </c>
      <c r="D7" s="17"/>
      <c r="E7" s="17">
        <v>299</v>
      </c>
      <c r="F7" s="11" t="s">
        <v>198</v>
      </c>
      <c r="G7" s="14" t="s">
        <v>191</v>
      </c>
      <c r="H7" s="14" t="s">
        <v>18</v>
      </c>
      <c r="I7" s="11" t="s">
        <v>51</v>
      </c>
      <c r="J7" s="11"/>
      <c r="K7" s="11"/>
      <c r="L7" s="15">
        <f t="shared" si="0"/>
        <v>206769.11</v>
      </c>
      <c r="M7" s="18" t="s">
        <v>58</v>
      </c>
      <c r="N7" s="12"/>
      <c r="O7" s="15">
        <f>N7*E7</f>
        <v>0</v>
      </c>
      <c r="P7" s="134">
        <v>206769.11</v>
      </c>
      <c r="Q7" s="131" t="s">
        <v>44</v>
      </c>
    </row>
    <row r="8" spans="1:17" s="45" customFormat="1" ht="26.25">
      <c r="A8" s="171"/>
      <c r="B8" s="171"/>
      <c r="C8" s="46" t="s">
        <v>390</v>
      </c>
      <c r="D8" s="17"/>
      <c r="E8" s="17">
        <v>603</v>
      </c>
      <c r="F8" s="11" t="s">
        <v>201</v>
      </c>
      <c r="G8" s="14" t="s">
        <v>202</v>
      </c>
      <c r="H8" s="14" t="s">
        <v>18</v>
      </c>
      <c r="I8" s="11" t="s">
        <v>51</v>
      </c>
      <c r="J8" s="11"/>
      <c r="K8" s="11"/>
      <c r="L8" s="15">
        <f t="shared" si="0"/>
        <v>403380.5</v>
      </c>
      <c r="M8" s="18" t="s">
        <v>48</v>
      </c>
      <c r="N8" s="12"/>
      <c r="O8" s="15">
        <f t="shared" ref="O8:O81" si="1">N8*E8</f>
        <v>0</v>
      </c>
      <c r="P8" s="134">
        <v>403380.5</v>
      </c>
      <c r="Q8" s="131" t="s">
        <v>44</v>
      </c>
    </row>
    <row r="9" spans="1:17" s="45" customFormat="1">
      <c r="A9" s="171"/>
      <c r="B9" s="171"/>
      <c r="C9" s="46" t="s">
        <v>391</v>
      </c>
      <c r="D9" s="17"/>
      <c r="E9" s="17">
        <v>153.44</v>
      </c>
      <c r="F9" s="11" t="s">
        <v>203</v>
      </c>
      <c r="G9" s="14" t="s">
        <v>191</v>
      </c>
      <c r="H9" s="14" t="s">
        <v>18</v>
      </c>
      <c r="I9" s="11" t="s">
        <v>51</v>
      </c>
      <c r="J9" s="11"/>
      <c r="K9" s="11"/>
      <c r="L9" s="15">
        <f t="shared" si="0"/>
        <v>179372.71</v>
      </c>
      <c r="M9" s="18" t="s">
        <v>48</v>
      </c>
      <c r="N9" s="12"/>
      <c r="O9" s="15">
        <f t="shared" si="1"/>
        <v>0</v>
      </c>
      <c r="P9" s="134">
        <v>179372.71</v>
      </c>
      <c r="Q9" s="131" t="s">
        <v>44</v>
      </c>
    </row>
    <row r="10" spans="1:17" s="45" customFormat="1" ht="39">
      <c r="A10" s="171"/>
      <c r="B10" s="171"/>
      <c r="C10" s="46" t="s">
        <v>392</v>
      </c>
      <c r="D10" s="17"/>
      <c r="E10" s="17">
        <v>163.58000000000001</v>
      </c>
      <c r="F10" s="11" t="s">
        <v>204</v>
      </c>
      <c r="G10" s="14" t="s">
        <v>202</v>
      </c>
      <c r="H10" s="14" t="s">
        <v>205</v>
      </c>
      <c r="I10" s="11" t="s">
        <v>54</v>
      </c>
      <c r="J10" s="11"/>
      <c r="K10" s="11"/>
      <c r="L10" s="15">
        <f t="shared" si="0"/>
        <v>132252.60999999999</v>
      </c>
      <c r="M10" s="18" t="s">
        <v>48</v>
      </c>
      <c r="N10" s="12"/>
      <c r="O10" s="15">
        <f t="shared" si="1"/>
        <v>0</v>
      </c>
      <c r="P10" s="134">
        <v>132252.60999999999</v>
      </c>
      <c r="Q10" s="131" t="s">
        <v>44</v>
      </c>
    </row>
    <row r="11" spans="1:17" s="45" customFormat="1">
      <c r="A11" s="171"/>
      <c r="B11" s="171"/>
      <c r="C11" s="46" t="s">
        <v>62</v>
      </c>
      <c r="D11" s="17">
        <v>1992</v>
      </c>
      <c r="E11" s="17">
        <v>58.7</v>
      </c>
      <c r="F11" s="11" t="s">
        <v>207</v>
      </c>
      <c r="G11" s="14" t="s">
        <v>191</v>
      </c>
      <c r="H11" s="14" t="s">
        <v>18</v>
      </c>
      <c r="I11" s="11" t="s">
        <v>208</v>
      </c>
      <c r="J11" s="11"/>
      <c r="K11" s="11"/>
      <c r="L11" s="15">
        <f t="shared" si="0"/>
        <v>60000</v>
      </c>
      <c r="M11" s="18" t="s">
        <v>58</v>
      </c>
      <c r="N11" s="12"/>
      <c r="O11" s="15">
        <f t="shared" si="1"/>
        <v>0</v>
      </c>
      <c r="P11" s="134">
        <v>60000</v>
      </c>
      <c r="Q11" s="131" t="s">
        <v>44</v>
      </c>
    </row>
    <row r="12" spans="1:17" s="45" customFormat="1" ht="26.25">
      <c r="A12" s="171"/>
      <c r="B12" s="171"/>
      <c r="C12" s="46" t="s">
        <v>206</v>
      </c>
      <c r="D12" s="17">
        <v>1993</v>
      </c>
      <c r="E12" s="17">
        <v>16</v>
      </c>
      <c r="F12" s="11" t="s">
        <v>57</v>
      </c>
      <c r="G12" s="14" t="s">
        <v>53</v>
      </c>
      <c r="H12" s="14" t="s">
        <v>53</v>
      </c>
      <c r="I12" s="11" t="s">
        <v>209</v>
      </c>
      <c r="J12" s="11"/>
      <c r="K12" s="11"/>
      <c r="L12" s="15">
        <f t="shared" si="0"/>
        <v>6094.89</v>
      </c>
      <c r="M12" s="18" t="s">
        <v>48</v>
      </c>
      <c r="N12" s="12"/>
      <c r="O12" s="15">
        <f t="shared" si="1"/>
        <v>0</v>
      </c>
      <c r="P12" s="134">
        <v>6094.89</v>
      </c>
      <c r="Q12" s="131" t="s">
        <v>44</v>
      </c>
    </row>
    <row r="13" spans="1:17" s="45" customFormat="1">
      <c r="A13" s="171"/>
      <c r="B13" s="171"/>
      <c r="C13" s="46" t="s">
        <v>63</v>
      </c>
      <c r="D13" s="17">
        <v>1996</v>
      </c>
      <c r="E13" s="17">
        <v>25</v>
      </c>
      <c r="F13" s="11" t="s">
        <v>203</v>
      </c>
      <c r="G13" s="14" t="s">
        <v>191</v>
      </c>
      <c r="H13" s="14" t="s">
        <v>18</v>
      </c>
      <c r="I13" s="11" t="s">
        <v>212</v>
      </c>
      <c r="J13" s="11"/>
      <c r="K13" s="11"/>
      <c r="L13" s="15">
        <f t="shared" si="0"/>
        <v>13845.61</v>
      </c>
      <c r="M13" s="18" t="s">
        <v>48</v>
      </c>
      <c r="N13" s="12"/>
      <c r="O13" s="15">
        <f t="shared" si="1"/>
        <v>0</v>
      </c>
      <c r="P13" s="134">
        <v>13845.61</v>
      </c>
      <c r="Q13" s="131" t="s">
        <v>44</v>
      </c>
    </row>
    <row r="14" spans="1:17" s="45" customFormat="1">
      <c r="A14" s="171"/>
      <c r="B14" s="171"/>
      <c r="C14" s="46" t="s">
        <v>393</v>
      </c>
      <c r="D14" s="17">
        <v>1968</v>
      </c>
      <c r="E14" s="17">
        <v>18.329999999999998</v>
      </c>
      <c r="F14" s="11" t="s">
        <v>210</v>
      </c>
      <c r="G14" s="14" t="s">
        <v>18</v>
      </c>
      <c r="H14" s="14" t="s">
        <v>194</v>
      </c>
      <c r="I14" s="11" t="s">
        <v>54</v>
      </c>
      <c r="J14" s="11"/>
      <c r="K14" s="11"/>
      <c r="L14" s="15">
        <f t="shared" si="0"/>
        <v>7180.62</v>
      </c>
      <c r="M14" s="18" t="s">
        <v>48</v>
      </c>
      <c r="N14" s="12"/>
      <c r="O14" s="15">
        <f t="shared" si="1"/>
        <v>0</v>
      </c>
      <c r="P14" s="134">
        <v>7180.62</v>
      </c>
      <c r="Q14" s="131" t="s">
        <v>44</v>
      </c>
    </row>
    <row r="15" spans="1:17" s="45" customFormat="1">
      <c r="A15" s="171"/>
      <c r="B15" s="171"/>
      <c r="C15" s="46" t="s">
        <v>394</v>
      </c>
      <c r="D15" s="17">
        <v>1969</v>
      </c>
      <c r="E15" s="17">
        <v>12</v>
      </c>
      <c r="F15" s="11" t="s">
        <v>203</v>
      </c>
      <c r="G15" s="14" t="s">
        <v>18</v>
      </c>
      <c r="H15" s="14" t="s">
        <v>194</v>
      </c>
      <c r="I15" s="11" t="s">
        <v>208</v>
      </c>
      <c r="J15" s="11"/>
      <c r="K15" s="11"/>
      <c r="L15" s="15">
        <f t="shared" si="0"/>
        <v>454.68</v>
      </c>
      <c r="M15" s="18" t="s">
        <v>48</v>
      </c>
      <c r="N15" s="12"/>
      <c r="O15" s="15">
        <f t="shared" si="1"/>
        <v>0</v>
      </c>
      <c r="P15" s="169">
        <v>454.68</v>
      </c>
      <c r="Q15" s="131" t="s">
        <v>44</v>
      </c>
    </row>
    <row r="16" spans="1:17" s="45" customFormat="1">
      <c r="A16" s="171"/>
      <c r="B16" s="171"/>
      <c r="C16" s="46" t="s">
        <v>396</v>
      </c>
      <c r="D16" s="17">
        <v>1969</v>
      </c>
      <c r="E16" s="17">
        <v>200.72</v>
      </c>
      <c r="F16" s="11" t="s">
        <v>211</v>
      </c>
      <c r="G16" s="14" t="s">
        <v>18</v>
      </c>
      <c r="H16" s="14" t="s">
        <v>53</v>
      </c>
      <c r="I16" s="11" t="s">
        <v>51</v>
      </c>
      <c r="J16" s="11"/>
      <c r="K16" s="11"/>
      <c r="L16" s="15">
        <f t="shared" si="0"/>
        <v>30000</v>
      </c>
      <c r="M16" s="18" t="s">
        <v>58</v>
      </c>
      <c r="N16" s="12"/>
      <c r="O16" s="15">
        <f t="shared" si="1"/>
        <v>0</v>
      </c>
      <c r="P16" s="134">
        <v>30000</v>
      </c>
      <c r="Q16" s="131" t="s">
        <v>44</v>
      </c>
    </row>
    <row r="17" spans="1:18" s="45" customFormat="1">
      <c r="A17" s="171"/>
      <c r="B17" s="171"/>
      <c r="C17" s="46" t="s">
        <v>66</v>
      </c>
      <c r="D17" s="17">
        <v>1992</v>
      </c>
      <c r="E17" s="17">
        <v>7.9</v>
      </c>
      <c r="F17" s="11" t="s">
        <v>203</v>
      </c>
      <c r="G17" s="14" t="s">
        <v>18</v>
      </c>
      <c r="H17" s="14" t="s">
        <v>18</v>
      </c>
      <c r="I17" s="11" t="s">
        <v>212</v>
      </c>
      <c r="J17" s="11"/>
      <c r="K17" s="11"/>
      <c r="L17" s="15">
        <f t="shared" si="0"/>
        <v>1203.78</v>
      </c>
      <c r="M17" s="18" t="s">
        <v>48</v>
      </c>
      <c r="N17" s="12"/>
      <c r="O17" s="15">
        <f t="shared" si="1"/>
        <v>0</v>
      </c>
      <c r="P17" s="134">
        <v>1203.78</v>
      </c>
      <c r="Q17" s="131" t="s">
        <v>44</v>
      </c>
    </row>
    <row r="18" spans="1:18" s="45" customFormat="1">
      <c r="A18" s="171"/>
      <c r="B18" s="171"/>
      <c r="C18" s="46" t="s">
        <v>214</v>
      </c>
      <c r="D18" s="17">
        <v>1959</v>
      </c>
      <c r="E18" s="17">
        <v>158.76</v>
      </c>
      <c r="F18" s="11" t="s">
        <v>215</v>
      </c>
      <c r="G18" s="14" t="s">
        <v>18</v>
      </c>
      <c r="H18" s="14" t="s">
        <v>194</v>
      </c>
      <c r="I18" s="11" t="s">
        <v>212</v>
      </c>
      <c r="J18" s="11"/>
      <c r="K18" s="11"/>
      <c r="L18" s="15">
        <f t="shared" si="0"/>
        <v>40000</v>
      </c>
      <c r="M18" s="18" t="s">
        <v>58</v>
      </c>
      <c r="N18" s="12"/>
      <c r="O18" s="15">
        <f t="shared" si="1"/>
        <v>0</v>
      </c>
      <c r="P18" s="134">
        <v>40000</v>
      </c>
      <c r="Q18" s="131" t="s">
        <v>44</v>
      </c>
    </row>
    <row r="19" spans="1:18" s="45" customFormat="1" ht="39">
      <c r="A19" s="171"/>
      <c r="B19" s="171"/>
      <c r="C19" s="46" t="s">
        <v>397</v>
      </c>
      <c r="D19" s="17">
        <v>1961</v>
      </c>
      <c r="E19" s="17">
        <v>328.25</v>
      </c>
      <c r="F19" s="11" t="s">
        <v>217</v>
      </c>
      <c r="G19" s="14" t="s">
        <v>218</v>
      </c>
      <c r="H19" s="14" t="s">
        <v>194</v>
      </c>
      <c r="I19" s="11" t="s">
        <v>51</v>
      </c>
      <c r="J19" s="11"/>
      <c r="K19" s="11"/>
      <c r="L19" s="15">
        <f t="shared" si="0"/>
        <v>200000</v>
      </c>
      <c r="M19" s="18" t="s">
        <v>58</v>
      </c>
      <c r="N19" s="12"/>
      <c r="O19" s="15">
        <f t="shared" si="1"/>
        <v>0</v>
      </c>
      <c r="P19" s="134">
        <v>200000</v>
      </c>
      <c r="Q19" s="131" t="s">
        <v>44</v>
      </c>
    </row>
    <row r="20" spans="1:18" s="45" customFormat="1">
      <c r="A20" s="171"/>
      <c r="B20" s="171"/>
      <c r="C20" s="46" t="s">
        <v>398</v>
      </c>
      <c r="D20" s="17">
        <v>1962</v>
      </c>
      <c r="E20" s="17">
        <v>305.89999999999998</v>
      </c>
      <c r="F20" s="11" t="s">
        <v>399</v>
      </c>
      <c r="G20" s="14" t="s">
        <v>18</v>
      </c>
      <c r="H20" s="14" t="s">
        <v>400</v>
      </c>
      <c r="I20" s="11" t="s">
        <v>51</v>
      </c>
      <c r="J20" s="11"/>
      <c r="K20" s="11"/>
      <c r="L20" s="15">
        <f t="shared" si="0"/>
        <v>400000</v>
      </c>
      <c r="M20" s="18" t="s">
        <v>58</v>
      </c>
      <c r="N20" s="12"/>
      <c r="O20" s="15">
        <f t="shared" si="1"/>
        <v>0</v>
      </c>
      <c r="P20" s="134">
        <v>400000</v>
      </c>
      <c r="Q20" s="131" t="s">
        <v>44</v>
      </c>
    </row>
    <row r="21" spans="1:18">
      <c r="A21" s="171"/>
      <c r="B21" s="171"/>
      <c r="C21" s="46" t="s">
        <v>401</v>
      </c>
      <c r="D21" s="17">
        <v>1967</v>
      </c>
      <c r="E21" s="17">
        <v>328.25</v>
      </c>
      <c r="F21" s="11" t="s">
        <v>220</v>
      </c>
      <c r="G21" s="14" t="s">
        <v>18</v>
      </c>
      <c r="H21" s="14" t="s">
        <v>53</v>
      </c>
      <c r="I21" s="11" t="s">
        <v>54</v>
      </c>
      <c r="J21" s="11"/>
      <c r="K21" s="11"/>
      <c r="L21" s="15">
        <f t="shared" si="0"/>
        <v>60000</v>
      </c>
      <c r="M21" s="18" t="s">
        <v>58</v>
      </c>
      <c r="N21" s="12"/>
      <c r="O21" s="15">
        <f t="shared" si="1"/>
        <v>0</v>
      </c>
      <c r="P21" s="134">
        <v>60000</v>
      </c>
      <c r="Q21" s="131" t="s">
        <v>44</v>
      </c>
      <c r="R21" s="45"/>
    </row>
    <row r="22" spans="1:18">
      <c r="A22" s="171"/>
      <c r="B22" s="171"/>
      <c r="C22" s="46" t="s">
        <v>402</v>
      </c>
      <c r="D22" s="17">
        <v>1974</v>
      </c>
      <c r="E22" s="17">
        <v>228.9</v>
      </c>
      <c r="F22" s="11" t="s">
        <v>222</v>
      </c>
      <c r="G22" s="14" t="s">
        <v>191</v>
      </c>
      <c r="H22" s="14" t="s">
        <v>18</v>
      </c>
      <c r="I22" s="11" t="s">
        <v>212</v>
      </c>
      <c r="J22" s="11"/>
      <c r="K22" s="11"/>
      <c r="L22" s="15">
        <f t="shared" si="0"/>
        <v>40000</v>
      </c>
      <c r="M22" s="18" t="s">
        <v>58</v>
      </c>
      <c r="N22" s="12"/>
      <c r="O22" s="15">
        <f t="shared" si="1"/>
        <v>0</v>
      </c>
      <c r="P22" s="134">
        <v>40000</v>
      </c>
      <c r="Q22" s="131" t="s">
        <v>44</v>
      </c>
      <c r="R22" s="45"/>
    </row>
    <row r="23" spans="1:18" s="45" customFormat="1" ht="39">
      <c r="A23" s="171"/>
      <c r="B23" s="171"/>
      <c r="C23" s="46" t="s">
        <v>403</v>
      </c>
      <c r="D23" s="17">
        <v>1981</v>
      </c>
      <c r="E23" s="17">
        <v>85.49</v>
      </c>
      <c r="F23" s="11" t="s">
        <v>225</v>
      </c>
      <c r="G23" s="14" t="s">
        <v>202</v>
      </c>
      <c r="H23" s="14" t="s">
        <v>18</v>
      </c>
      <c r="I23" s="11" t="s">
        <v>226</v>
      </c>
      <c r="J23" s="11"/>
      <c r="K23" s="11"/>
      <c r="L23" s="15">
        <f t="shared" si="0"/>
        <v>40000</v>
      </c>
      <c r="M23" s="18" t="s">
        <v>58</v>
      </c>
      <c r="N23" s="12"/>
      <c r="O23" s="15">
        <f t="shared" si="1"/>
        <v>0</v>
      </c>
      <c r="P23" s="134">
        <v>40000</v>
      </c>
      <c r="Q23" s="131" t="s">
        <v>44</v>
      </c>
    </row>
    <row r="24" spans="1:18" s="45" customFormat="1">
      <c r="A24" s="171"/>
      <c r="B24" s="171"/>
      <c r="C24" s="46" t="s">
        <v>404</v>
      </c>
      <c r="D24" s="17">
        <v>1982</v>
      </c>
      <c r="E24" s="17">
        <v>182.7</v>
      </c>
      <c r="F24" s="11" t="s">
        <v>227</v>
      </c>
      <c r="G24" s="14" t="s">
        <v>18</v>
      </c>
      <c r="H24" s="14" t="s">
        <v>228</v>
      </c>
      <c r="I24" s="11" t="s">
        <v>51</v>
      </c>
      <c r="J24" s="11"/>
      <c r="K24" s="11"/>
      <c r="L24" s="15">
        <f t="shared" si="0"/>
        <v>100000</v>
      </c>
      <c r="M24" s="18" t="s">
        <v>58</v>
      </c>
      <c r="N24" s="12"/>
      <c r="O24" s="15">
        <f t="shared" si="1"/>
        <v>0</v>
      </c>
      <c r="P24" s="134">
        <v>100000</v>
      </c>
      <c r="Q24" s="131" t="s">
        <v>44</v>
      </c>
    </row>
    <row r="25" spans="1:18" s="45" customFormat="1">
      <c r="A25" s="171"/>
      <c r="B25" s="171"/>
      <c r="C25" s="46" t="s">
        <v>406</v>
      </c>
      <c r="D25" s="17">
        <v>1991</v>
      </c>
      <c r="E25" s="17">
        <v>227.5</v>
      </c>
      <c r="F25" s="11" t="s">
        <v>230</v>
      </c>
      <c r="G25" s="14" t="s">
        <v>191</v>
      </c>
      <c r="H25" s="14" t="s">
        <v>18</v>
      </c>
      <c r="I25" s="11" t="s">
        <v>51</v>
      </c>
      <c r="J25" s="11"/>
      <c r="K25" s="11"/>
      <c r="L25" s="15">
        <f t="shared" si="0"/>
        <v>100000</v>
      </c>
      <c r="M25" s="18" t="s">
        <v>58</v>
      </c>
      <c r="N25" s="12"/>
      <c r="O25" s="15">
        <f t="shared" si="1"/>
        <v>0</v>
      </c>
      <c r="P25" s="134">
        <v>100000</v>
      </c>
      <c r="Q25" s="131" t="s">
        <v>44</v>
      </c>
    </row>
    <row r="26" spans="1:18" s="45" customFormat="1" ht="31.5" customHeight="1">
      <c r="A26" s="171"/>
      <c r="B26" s="171"/>
      <c r="C26" s="46" t="s">
        <v>405</v>
      </c>
      <c r="D26" s="17">
        <v>1977</v>
      </c>
      <c r="E26" s="17">
        <v>223.8</v>
      </c>
      <c r="F26" s="11" t="s">
        <v>232</v>
      </c>
      <c r="G26" s="14" t="s">
        <v>191</v>
      </c>
      <c r="H26" s="14" t="s">
        <v>18</v>
      </c>
      <c r="I26" s="11" t="s">
        <v>51</v>
      </c>
      <c r="J26" s="11"/>
      <c r="K26" s="11"/>
      <c r="L26" s="15">
        <f t="shared" si="0"/>
        <v>80000</v>
      </c>
      <c r="M26" s="18" t="s">
        <v>58</v>
      </c>
      <c r="N26" s="12"/>
      <c r="O26" s="15">
        <f t="shared" si="1"/>
        <v>0</v>
      </c>
      <c r="P26" s="134">
        <v>80000</v>
      </c>
      <c r="Q26" s="131" t="s">
        <v>44</v>
      </c>
    </row>
    <row r="27" spans="1:18" s="45" customFormat="1">
      <c r="A27" s="171"/>
      <c r="B27" s="171"/>
      <c r="C27" s="46" t="s">
        <v>68</v>
      </c>
      <c r="D27" s="17">
        <v>2003</v>
      </c>
      <c r="E27" s="17"/>
      <c r="F27" s="11" t="s">
        <v>233</v>
      </c>
      <c r="G27" s="14" t="s">
        <v>18</v>
      </c>
      <c r="H27" s="14" t="s">
        <v>53</v>
      </c>
      <c r="I27" s="11" t="s">
        <v>54</v>
      </c>
      <c r="J27" s="11"/>
      <c r="K27" s="11"/>
      <c r="L27" s="15">
        <f t="shared" si="0"/>
        <v>216347.81</v>
      </c>
      <c r="M27" s="18" t="s">
        <v>48</v>
      </c>
      <c r="N27" s="12"/>
      <c r="O27" s="15"/>
      <c r="P27" s="134">
        <v>216347.81</v>
      </c>
      <c r="Q27" s="131" t="s">
        <v>44</v>
      </c>
    </row>
    <row r="28" spans="1:18" s="45" customFormat="1">
      <c r="A28" s="171"/>
      <c r="B28" s="171"/>
      <c r="C28" s="46" t="s">
        <v>407</v>
      </c>
      <c r="D28" s="17">
        <v>1930</v>
      </c>
      <c r="E28" s="17">
        <v>149.62</v>
      </c>
      <c r="F28" s="11" t="s">
        <v>193</v>
      </c>
      <c r="G28" s="14" t="s">
        <v>194</v>
      </c>
      <c r="H28" s="14"/>
      <c r="I28" s="11" t="s">
        <v>51</v>
      </c>
      <c r="J28" s="11"/>
      <c r="K28" s="11"/>
      <c r="L28" s="15">
        <f t="shared" si="0"/>
        <v>100000</v>
      </c>
      <c r="M28" s="18" t="s">
        <v>58</v>
      </c>
      <c r="N28" s="12"/>
      <c r="O28" s="15"/>
      <c r="P28" s="134">
        <v>100000</v>
      </c>
      <c r="Q28" s="131" t="s">
        <v>44</v>
      </c>
    </row>
    <row r="29" spans="1:18" s="45" customFormat="1">
      <c r="A29" s="171"/>
      <c r="B29" s="171"/>
      <c r="C29" s="46" t="s">
        <v>408</v>
      </c>
      <c r="D29" s="17">
        <v>1968</v>
      </c>
      <c r="E29" s="17">
        <v>54.42</v>
      </c>
      <c r="F29" s="11" t="s">
        <v>215</v>
      </c>
      <c r="G29" s="14" t="s">
        <v>202</v>
      </c>
      <c r="H29" s="14" t="s">
        <v>18</v>
      </c>
      <c r="I29" s="11" t="s">
        <v>51</v>
      </c>
      <c r="J29" s="11"/>
      <c r="K29" s="11"/>
      <c r="L29" s="15">
        <v>100000</v>
      </c>
      <c r="M29" s="18" t="s">
        <v>58</v>
      </c>
      <c r="N29" s="12"/>
      <c r="O29" s="15"/>
      <c r="P29" s="134">
        <v>30000</v>
      </c>
      <c r="Q29" s="131" t="s">
        <v>44</v>
      </c>
    </row>
    <row r="30" spans="1:18" s="45" customFormat="1">
      <c r="A30" s="171"/>
      <c r="B30" s="171"/>
      <c r="C30" s="46" t="s">
        <v>409</v>
      </c>
      <c r="D30" s="17"/>
      <c r="E30" s="17">
        <v>231</v>
      </c>
      <c r="F30" s="11" t="s">
        <v>193</v>
      </c>
      <c r="G30" s="14" t="s">
        <v>194</v>
      </c>
      <c r="H30" s="14" t="s">
        <v>18</v>
      </c>
      <c r="I30" s="11" t="s">
        <v>54</v>
      </c>
      <c r="J30" s="11"/>
      <c r="K30" s="11"/>
      <c r="L30" s="15">
        <v>100000</v>
      </c>
      <c r="M30" s="18" t="s">
        <v>58</v>
      </c>
      <c r="N30" s="12"/>
      <c r="O30" s="15"/>
      <c r="P30" s="134">
        <v>40000</v>
      </c>
      <c r="Q30" s="131" t="s">
        <v>44</v>
      </c>
    </row>
    <row r="31" spans="1:18" s="45" customFormat="1">
      <c r="A31" s="171"/>
      <c r="B31" s="171"/>
      <c r="C31" s="46" t="s">
        <v>69</v>
      </c>
      <c r="D31" s="17"/>
      <c r="E31" s="17">
        <v>305.60000000000002</v>
      </c>
      <c r="F31" s="11" t="s">
        <v>193</v>
      </c>
      <c r="G31" s="14" t="s">
        <v>194</v>
      </c>
      <c r="H31" s="14" t="s">
        <v>18</v>
      </c>
      <c r="I31" s="11" t="s">
        <v>51</v>
      </c>
      <c r="J31" s="11"/>
      <c r="K31" s="11"/>
      <c r="L31" s="15">
        <f t="shared" si="0"/>
        <v>4538685.38</v>
      </c>
      <c r="M31" s="18" t="s">
        <v>48</v>
      </c>
      <c r="N31" s="12"/>
      <c r="O31" s="15"/>
      <c r="P31" s="134">
        <v>4538685.38</v>
      </c>
      <c r="Q31" s="131" t="s">
        <v>44</v>
      </c>
    </row>
    <row r="32" spans="1:18" s="45" customFormat="1">
      <c r="A32" s="171"/>
      <c r="B32" s="171"/>
      <c r="C32" s="46" t="s">
        <v>236</v>
      </c>
      <c r="D32" s="17">
        <v>2015</v>
      </c>
      <c r="E32" s="17">
        <v>82.26</v>
      </c>
      <c r="F32" s="11" t="s">
        <v>237</v>
      </c>
      <c r="G32" s="14" t="s">
        <v>191</v>
      </c>
      <c r="H32" s="14" t="s">
        <v>18</v>
      </c>
      <c r="I32" s="11" t="s">
        <v>51</v>
      </c>
      <c r="J32" s="11"/>
      <c r="K32" s="11"/>
      <c r="L32" s="15">
        <f t="shared" si="0"/>
        <v>384504</v>
      </c>
      <c r="M32" s="18" t="s">
        <v>48</v>
      </c>
      <c r="N32" s="12"/>
      <c r="O32" s="15"/>
      <c r="P32" s="134">
        <v>384504</v>
      </c>
      <c r="Q32" s="131" t="s">
        <v>44</v>
      </c>
    </row>
    <row r="33" spans="1:17" s="45" customFormat="1">
      <c r="A33" s="171"/>
      <c r="B33" s="171"/>
      <c r="C33" s="46" t="s">
        <v>70</v>
      </c>
      <c r="D33" s="17">
        <v>2013</v>
      </c>
      <c r="E33" s="17">
        <v>26.1</v>
      </c>
      <c r="F33" s="11" t="s">
        <v>237</v>
      </c>
      <c r="G33" s="14" t="s">
        <v>194</v>
      </c>
      <c r="H33" s="14" t="s">
        <v>18</v>
      </c>
      <c r="I33" s="11" t="s">
        <v>51</v>
      </c>
      <c r="J33" s="11"/>
      <c r="K33" s="11"/>
      <c r="L33" s="15">
        <f t="shared" si="0"/>
        <v>157340</v>
      </c>
      <c r="M33" s="18" t="s">
        <v>48</v>
      </c>
      <c r="N33" s="12"/>
      <c r="O33" s="15">
        <f t="shared" si="1"/>
        <v>0</v>
      </c>
      <c r="P33" s="134">
        <v>157340</v>
      </c>
      <c r="Q33" s="131" t="s">
        <v>44</v>
      </c>
    </row>
    <row r="34" spans="1:17" s="45" customFormat="1">
      <c r="A34" s="172"/>
      <c r="B34" s="172"/>
      <c r="C34" s="136" t="s">
        <v>410</v>
      </c>
      <c r="D34" s="137"/>
      <c r="E34" s="137">
        <v>340</v>
      </c>
      <c r="F34" s="138" t="s">
        <v>411</v>
      </c>
      <c r="G34" s="139" t="s">
        <v>18</v>
      </c>
      <c r="H34" s="139" t="s">
        <v>18</v>
      </c>
      <c r="I34" s="138" t="s">
        <v>51</v>
      </c>
      <c r="J34" s="138"/>
      <c r="K34" s="138"/>
      <c r="L34" s="15">
        <f t="shared" si="0"/>
        <v>200000</v>
      </c>
      <c r="M34" s="141" t="s">
        <v>58</v>
      </c>
      <c r="N34" s="142"/>
      <c r="O34" s="140"/>
      <c r="P34" s="143">
        <v>200000</v>
      </c>
      <c r="Q34" s="144" t="s">
        <v>44</v>
      </c>
    </row>
    <row r="35" spans="1:17" s="45" customFormat="1">
      <c r="A35" s="172"/>
      <c r="B35" s="172"/>
      <c r="C35" s="136" t="s">
        <v>412</v>
      </c>
      <c r="D35" s="137"/>
      <c r="E35" s="137">
        <v>196</v>
      </c>
      <c r="F35" s="138" t="s">
        <v>193</v>
      </c>
      <c r="G35" s="139" t="s">
        <v>194</v>
      </c>
      <c r="H35" s="139" t="s">
        <v>18</v>
      </c>
      <c r="I35" s="138" t="s">
        <v>51</v>
      </c>
      <c r="J35" s="138"/>
      <c r="K35" s="138"/>
      <c r="L35" s="15">
        <f t="shared" si="0"/>
        <v>60000</v>
      </c>
      <c r="M35" s="141" t="s">
        <v>58</v>
      </c>
      <c r="N35" s="142"/>
      <c r="O35" s="140"/>
      <c r="P35" s="143">
        <v>60000</v>
      </c>
      <c r="Q35" s="144" t="s">
        <v>44</v>
      </c>
    </row>
    <row r="36" spans="1:17" s="45" customFormat="1">
      <c r="A36" s="172"/>
      <c r="B36" s="172"/>
      <c r="C36" s="136" t="s">
        <v>446</v>
      </c>
      <c r="D36" s="137"/>
      <c r="E36" s="137">
        <v>286</v>
      </c>
      <c r="F36" s="138" t="s">
        <v>193</v>
      </c>
      <c r="G36" s="139" t="s">
        <v>194</v>
      </c>
      <c r="H36" s="139" t="s">
        <v>18</v>
      </c>
      <c r="I36" s="138" t="s">
        <v>212</v>
      </c>
      <c r="J36" s="138"/>
      <c r="K36" s="138"/>
      <c r="L36" s="15">
        <f t="shared" si="0"/>
        <v>100000</v>
      </c>
      <c r="M36" s="141" t="s">
        <v>58</v>
      </c>
      <c r="N36" s="142"/>
      <c r="O36" s="140"/>
      <c r="P36" s="143">
        <v>100000</v>
      </c>
      <c r="Q36" s="144" t="s">
        <v>44</v>
      </c>
    </row>
    <row r="37" spans="1:17" s="45" customFormat="1">
      <c r="A37" s="172"/>
      <c r="B37" s="172"/>
      <c r="C37" s="136" t="s">
        <v>435</v>
      </c>
      <c r="D37" s="137"/>
      <c r="E37" s="137">
        <v>120</v>
      </c>
      <c r="F37" s="138" t="s">
        <v>57</v>
      </c>
      <c r="G37" s="139" t="s">
        <v>194</v>
      </c>
      <c r="H37" s="139" t="s">
        <v>18</v>
      </c>
      <c r="I37" s="138" t="s">
        <v>212</v>
      </c>
      <c r="J37" s="138"/>
      <c r="K37" s="138"/>
      <c r="L37" s="15">
        <f t="shared" si="0"/>
        <v>80000</v>
      </c>
      <c r="M37" s="141" t="s">
        <v>58</v>
      </c>
      <c r="N37" s="142"/>
      <c r="O37" s="140"/>
      <c r="P37" s="143">
        <v>80000</v>
      </c>
      <c r="Q37" s="144" t="s">
        <v>44</v>
      </c>
    </row>
    <row r="38" spans="1:17" s="45" customFormat="1">
      <c r="A38" s="172"/>
      <c r="B38" s="172"/>
      <c r="C38" s="136" t="s">
        <v>447</v>
      </c>
      <c r="D38" s="137"/>
      <c r="E38" s="137">
        <v>80</v>
      </c>
      <c r="F38" s="138" t="s">
        <v>57</v>
      </c>
      <c r="G38" s="139" t="s">
        <v>18</v>
      </c>
      <c r="H38" s="139" t="s">
        <v>18</v>
      </c>
      <c r="I38" s="138" t="s">
        <v>51</v>
      </c>
      <c r="J38" s="138"/>
      <c r="K38" s="138"/>
      <c r="L38" s="15">
        <f t="shared" si="0"/>
        <v>30000</v>
      </c>
      <c r="M38" s="141" t="s">
        <v>58</v>
      </c>
      <c r="N38" s="142"/>
      <c r="O38" s="140"/>
      <c r="P38" s="143">
        <v>30000</v>
      </c>
      <c r="Q38" s="144" t="s">
        <v>44</v>
      </c>
    </row>
    <row r="39" spans="1:17" s="45" customFormat="1" ht="26.25">
      <c r="A39" s="172"/>
      <c r="B39" s="172"/>
      <c r="C39" s="136" t="s">
        <v>414</v>
      </c>
      <c r="D39" s="137"/>
      <c r="E39" s="137">
        <f>114.96+24.6</f>
        <v>139.56</v>
      </c>
      <c r="F39" s="138" t="s">
        <v>57</v>
      </c>
      <c r="G39" s="139" t="s">
        <v>415</v>
      </c>
      <c r="H39" s="139" t="s">
        <v>18</v>
      </c>
      <c r="I39" s="138" t="s">
        <v>54</v>
      </c>
      <c r="J39" s="138"/>
      <c r="K39" s="138"/>
      <c r="L39" s="15">
        <f t="shared" si="0"/>
        <v>553943.78</v>
      </c>
      <c r="M39" s="141" t="s">
        <v>58</v>
      </c>
      <c r="N39" s="142"/>
      <c r="O39" s="140"/>
      <c r="P39" s="143">
        <v>553943.78</v>
      </c>
      <c r="Q39" s="144" t="s">
        <v>44</v>
      </c>
    </row>
    <row r="40" spans="1:17" s="45" customFormat="1">
      <c r="A40" s="172"/>
      <c r="B40" s="172"/>
      <c r="C40" s="136" t="s">
        <v>416</v>
      </c>
      <c r="D40" s="137"/>
      <c r="E40" s="137">
        <v>90</v>
      </c>
      <c r="F40" s="138" t="s">
        <v>57</v>
      </c>
      <c r="G40" s="139" t="s">
        <v>400</v>
      </c>
      <c r="H40" s="139" t="s">
        <v>18</v>
      </c>
      <c r="I40" s="138" t="s">
        <v>51</v>
      </c>
      <c r="J40" s="138"/>
      <c r="K40" s="138"/>
      <c r="L40" s="15">
        <f t="shared" si="0"/>
        <v>245953</v>
      </c>
      <c r="M40" s="141" t="s">
        <v>58</v>
      </c>
      <c r="N40" s="142"/>
      <c r="O40" s="140"/>
      <c r="P40" s="143">
        <v>245953</v>
      </c>
      <c r="Q40" s="144" t="s">
        <v>44</v>
      </c>
    </row>
    <row r="41" spans="1:17" s="45" customFormat="1" ht="26.25">
      <c r="A41" s="172"/>
      <c r="B41" s="172"/>
      <c r="C41" s="136" t="s">
        <v>417</v>
      </c>
      <c r="D41" s="137"/>
      <c r="E41" s="137">
        <v>210</v>
      </c>
      <c r="F41" s="138" t="s">
        <v>57</v>
      </c>
      <c r="G41" s="139" t="s">
        <v>418</v>
      </c>
      <c r="H41" s="139" t="s">
        <v>18</v>
      </c>
      <c r="I41" s="138" t="s">
        <v>419</v>
      </c>
      <c r="J41" s="138"/>
      <c r="K41" s="138"/>
      <c r="L41" s="15">
        <f t="shared" si="0"/>
        <v>121100</v>
      </c>
      <c r="M41" s="141" t="s">
        <v>58</v>
      </c>
      <c r="N41" s="142"/>
      <c r="O41" s="140"/>
      <c r="P41" s="143">
        <v>121100</v>
      </c>
      <c r="Q41" s="144" t="s">
        <v>44</v>
      </c>
    </row>
    <row r="42" spans="1:17" s="45" customFormat="1">
      <c r="A42" s="171"/>
      <c r="B42" s="171"/>
      <c r="C42" s="46" t="s">
        <v>71</v>
      </c>
      <c r="D42" s="17">
        <v>1992</v>
      </c>
      <c r="E42" s="17"/>
      <c r="F42" s="11"/>
      <c r="G42" s="14"/>
      <c r="H42" s="14"/>
      <c r="I42" s="11"/>
      <c r="J42" s="11"/>
      <c r="K42" s="11"/>
      <c r="L42" s="15">
        <f t="shared" si="0"/>
        <v>28926.48</v>
      </c>
      <c r="M42" s="18"/>
      <c r="N42" s="12"/>
      <c r="O42" s="15">
        <f t="shared" si="1"/>
        <v>0</v>
      </c>
      <c r="P42" s="135">
        <v>28926.48</v>
      </c>
      <c r="Q42" s="131" t="s">
        <v>46</v>
      </c>
    </row>
    <row r="43" spans="1:17" s="45" customFormat="1">
      <c r="A43" s="171"/>
      <c r="B43" s="171"/>
      <c r="C43" s="46" t="s">
        <v>72</v>
      </c>
      <c r="D43" s="17">
        <v>1992</v>
      </c>
      <c r="E43" s="17"/>
      <c r="F43" s="11"/>
      <c r="G43" s="14"/>
      <c r="H43" s="14"/>
      <c r="I43" s="11"/>
      <c r="J43" s="11"/>
      <c r="K43" s="11"/>
      <c r="L43" s="15">
        <f t="shared" si="0"/>
        <v>40458.769999999997</v>
      </c>
      <c r="M43" s="18"/>
      <c r="N43" s="12"/>
      <c r="O43" s="15">
        <f t="shared" si="1"/>
        <v>0</v>
      </c>
      <c r="P43" s="135">
        <v>40458.769999999997</v>
      </c>
      <c r="Q43" s="131" t="s">
        <v>46</v>
      </c>
    </row>
    <row r="44" spans="1:17" s="45" customFormat="1">
      <c r="A44" s="171"/>
      <c r="B44" s="171"/>
      <c r="C44" s="46" t="s">
        <v>73</v>
      </c>
      <c r="D44" s="17">
        <v>2008</v>
      </c>
      <c r="E44" s="17"/>
      <c r="F44" s="11"/>
      <c r="G44" s="14"/>
      <c r="H44" s="14"/>
      <c r="I44" s="11"/>
      <c r="J44" s="11"/>
      <c r="K44" s="11"/>
      <c r="L44" s="15">
        <f t="shared" si="0"/>
        <v>2132130.9700000002</v>
      </c>
      <c r="M44" s="18" t="s">
        <v>48</v>
      </c>
      <c r="N44" s="12"/>
      <c r="O44" s="15">
        <f t="shared" si="1"/>
        <v>0</v>
      </c>
      <c r="P44" s="135">
        <v>2132130.9700000002</v>
      </c>
      <c r="Q44" s="131" t="s">
        <v>44</v>
      </c>
    </row>
    <row r="45" spans="1:17" s="45" customFormat="1">
      <c r="A45" s="172"/>
      <c r="B45" s="172"/>
      <c r="C45" s="136" t="s">
        <v>420</v>
      </c>
      <c r="D45" s="137">
        <v>2018</v>
      </c>
      <c r="E45" s="137"/>
      <c r="F45" s="138"/>
      <c r="G45" s="139"/>
      <c r="H45" s="139"/>
      <c r="I45" s="138"/>
      <c r="J45" s="138"/>
      <c r="K45" s="138"/>
      <c r="L45" s="15">
        <f t="shared" si="0"/>
        <v>48892.5</v>
      </c>
      <c r="M45" s="18" t="s">
        <v>48</v>
      </c>
      <c r="N45" s="142"/>
      <c r="O45" s="140"/>
      <c r="P45" s="145">
        <v>48892.5</v>
      </c>
      <c r="Q45" s="144" t="s">
        <v>46</v>
      </c>
    </row>
    <row r="46" spans="1:17" s="45" customFormat="1">
      <c r="A46" s="172"/>
      <c r="B46" s="172"/>
      <c r="C46" s="136" t="s">
        <v>421</v>
      </c>
      <c r="D46" s="137">
        <v>2018</v>
      </c>
      <c r="E46" s="137"/>
      <c r="F46" s="138"/>
      <c r="G46" s="139"/>
      <c r="H46" s="139"/>
      <c r="I46" s="138"/>
      <c r="J46" s="138"/>
      <c r="K46" s="138"/>
      <c r="L46" s="15">
        <f t="shared" si="0"/>
        <v>43726.5</v>
      </c>
      <c r="M46" s="18" t="s">
        <v>48</v>
      </c>
      <c r="N46" s="142"/>
      <c r="O46" s="140"/>
      <c r="P46" s="145">
        <v>43726.5</v>
      </c>
      <c r="Q46" s="144" t="s">
        <v>46</v>
      </c>
    </row>
    <row r="47" spans="1:17" s="45" customFormat="1" ht="26.25">
      <c r="A47" s="172"/>
      <c r="B47" s="172"/>
      <c r="C47" s="136" t="s">
        <v>445</v>
      </c>
      <c r="D47" s="137">
        <v>2018</v>
      </c>
      <c r="E47" s="137"/>
      <c r="F47" s="138"/>
      <c r="G47" s="139"/>
      <c r="H47" s="139"/>
      <c r="I47" s="138"/>
      <c r="J47" s="138"/>
      <c r="K47" s="138"/>
      <c r="L47" s="15">
        <f t="shared" si="0"/>
        <v>64598.239999999998</v>
      </c>
      <c r="M47" s="18" t="s">
        <v>48</v>
      </c>
      <c r="N47" s="142"/>
      <c r="O47" s="140"/>
      <c r="P47" s="145">
        <v>64598.239999999998</v>
      </c>
      <c r="Q47" s="144" t="s">
        <v>46</v>
      </c>
    </row>
    <row r="48" spans="1:17" s="45" customFormat="1">
      <c r="A48" s="172"/>
      <c r="B48" s="172"/>
      <c r="C48" s="136" t="s">
        <v>422</v>
      </c>
      <c r="D48" s="137">
        <v>2018</v>
      </c>
      <c r="E48" s="137"/>
      <c r="F48" s="138"/>
      <c r="G48" s="139"/>
      <c r="H48" s="139"/>
      <c r="I48" s="138"/>
      <c r="J48" s="138"/>
      <c r="K48" s="138"/>
      <c r="L48" s="15">
        <f t="shared" si="0"/>
        <v>99128.320000000007</v>
      </c>
      <c r="M48" s="18" t="s">
        <v>48</v>
      </c>
      <c r="N48" s="142"/>
      <c r="O48" s="140"/>
      <c r="P48" s="145">
        <v>99128.320000000007</v>
      </c>
      <c r="Q48" s="144" t="s">
        <v>46</v>
      </c>
    </row>
    <row r="49" spans="1:17" s="45" customFormat="1">
      <c r="A49" s="172"/>
      <c r="B49" s="172"/>
      <c r="C49" s="136" t="s">
        <v>423</v>
      </c>
      <c r="D49" s="137">
        <v>2018</v>
      </c>
      <c r="E49" s="137"/>
      <c r="F49" s="138"/>
      <c r="G49" s="139"/>
      <c r="H49" s="139"/>
      <c r="I49" s="138"/>
      <c r="J49" s="138"/>
      <c r="K49" s="138"/>
      <c r="L49" s="15">
        <f t="shared" si="0"/>
        <v>28553.37</v>
      </c>
      <c r="M49" s="18" t="s">
        <v>48</v>
      </c>
      <c r="N49" s="142"/>
      <c r="O49" s="140"/>
      <c r="P49" s="145">
        <v>28553.37</v>
      </c>
      <c r="Q49" s="144" t="s">
        <v>46</v>
      </c>
    </row>
    <row r="50" spans="1:17" s="45" customFormat="1">
      <c r="A50" s="172"/>
      <c r="B50" s="172"/>
      <c r="C50" s="136" t="s">
        <v>424</v>
      </c>
      <c r="D50" s="137">
        <v>2017</v>
      </c>
      <c r="E50" s="137"/>
      <c r="F50" s="138"/>
      <c r="G50" s="139"/>
      <c r="H50" s="139"/>
      <c r="I50" s="138"/>
      <c r="J50" s="138"/>
      <c r="K50" s="138"/>
      <c r="L50" s="140">
        <f t="shared" si="0"/>
        <v>8492.66</v>
      </c>
      <c r="M50" s="141"/>
      <c r="N50" s="142"/>
      <c r="O50" s="140"/>
      <c r="P50" s="145">
        <v>8492.66</v>
      </c>
      <c r="Q50" s="144" t="s">
        <v>46</v>
      </c>
    </row>
    <row r="51" spans="1:17" s="45" customFormat="1">
      <c r="A51" s="171"/>
      <c r="B51" s="171"/>
      <c r="C51" s="46" t="s">
        <v>74</v>
      </c>
      <c r="D51" s="17">
        <v>2009</v>
      </c>
      <c r="E51" s="17"/>
      <c r="F51" s="11"/>
      <c r="G51" s="14"/>
      <c r="H51" s="14"/>
      <c r="I51" s="11"/>
      <c r="J51" s="11"/>
      <c r="K51" s="11"/>
      <c r="L51" s="15">
        <f t="shared" si="0"/>
        <v>105703.33</v>
      </c>
      <c r="M51" s="18" t="s">
        <v>48</v>
      </c>
      <c r="N51" s="12"/>
      <c r="O51" s="15">
        <f t="shared" si="1"/>
        <v>0</v>
      </c>
      <c r="P51" s="135">
        <v>105703.33</v>
      </c>
      <c r="Q51" s="144" t="s">
        <v>46</v>
      </c>
    </row>
    <row r="52" spans="1:17" s="45" customFormat="1">
      <c r="A52" s="171"/>
      <c r="B52" s="171"/>
      <c r="C52" s="46" t="s">
        <v>75</v>
      </c>
      <c r="D52" s="17">
        <v>1997</v>
      </c>
      <c r="E52" s="17"/>
      <c r="F52" s="11"/>
      <c r="G52" s="14"/>
      <c r="H52" s="14"/>
      <c r="I52" s="11"/>
      <c r="J52" s="11"/>
      <c r="K52" s="11"/>
      <c r="L52" s="15">
        <f t="shared" si="0"/>
        <v>177824.54</v>
      </c>
      <c r="M52" s="18" t="s">
        <v>48</v>
      </c>
      <c r="N52" s="12"/>
      <c r="O52" s="15">
        <f t="shared" si="1"/>
        <v>0</v>
      </c>
      <c r="P52" s="135">
        <v>177824.54</v>
      </c>
      <c r="Q52" s="131" t="s">
        <v>46</v>
      </c>
    </row>
    <row r="53" spans="1:17" s="45" customFormat="1">
      <c r="A53" s="171"/>
      <c r="B53" s="171"/>
      <c r="C53" s="46" t="s">
        <v>76</v>
      </c>
      <c r="D53" s="17">
        <v>2006</v>
      </c>
      <c r="E53" s="17"/>
      <c r="F53" s="11"/>
      <c r="G53" s="14"/>
      <c r="H53" s="14"/>
      <c r="I53" s="11"/>
      <c r="J53" s="11"/>
      <c r="K53" s="11"/>
      <c r="L53" s="15">
        <f t="shared" si="0"/>
        <v>110289.54</v>
      </c>
      <c r="M53" s="18" t="s">
        <v>48</v>
      </c>
      <c r="N53" s="12"/>
      <c r="O53" s="15">
        <f t="shared" si="1"/>
        <v>0</v>
      </c>
      <c r="P53" s="135">
        <v>110289.54</v>
      </c>
      <c r="Q53" s="131" t="s">
        <v>46</v>
      </c>
    </row>
    <row r="54" spans="1:17" s="45" customFormat="1">
      <c r="A54" s="171"/>
      <c r="B54" s="171"/>
      <c r="C54" s="46" t="s">
        <v>77</v>
      </c>
      <c r="D54" s="17">
        <v>2010</v>
      </c>
      <c r="E54" s="17"/>
      <c r="F54" s="11"/>
      <c r="G54" s="14"/>
      <c r="H54" s="14"/>
      <c r="I54" s="11"/>
      <c r="J54" s="11"/>
      <c r="K54" s="11"/>
      <c r="L54" s="15">
        <f t="shared" si="0"/>
        <v>20036.3</v>
      </c>
      <c r="M54" s="18" t="s">
        <v>48</v>
      </c>
      <c r="N54" s="12"/>
      <c r="O54" s="15"/>
      <c r="P54" s="135">
        <v>20036.3</v>
      </c>
      <c r="Q54" s="131" t="s">
        <v>46</v>
      </c>
    </row>
    <row r="55" spans="1:17" s="45" customFormat="1">
      <c r="A55" s="171"/>
      <c r="B55" s="171"/>
      <c r="C55" s="46" t="s">
        <v>78</v>
      </c>
      <c r="D55" s="17">
        <v>2010</v>
      </c>
      <c r="E55" s="17"/>
      <c r="F55" s="11"/>
      <c r="G55" s="14"/>
      <c r="H55" s="14"/>
      <c r="I55" s="11"/>
      <c r="J55" s="11"/>
      <c r="K55" s="11"/>
      <c r="L55" s="15">
        <f t="shared" si="0"/>
        <v>29020.799999999999</v>
      </c>
      <c r="M55" s="18" t="s">
        <v>48</v>
      </c>
      <c r="N55" s="12"/>
      <c r="O55" s="15">
        <f t="shared" si="1"/>
        <v>0</v>
      </c>
      <c r="P55" s="135">
        <v>29020.799999999999</v>
      </c>
      <c r="Q55" s="131" t="s">
        <v>46</v>
      </c>
    </row>
    <row r="56" spans="1:17" s="45" customFormat="1">
      <c r="A56" s="171"/>
      <c r="B56" s="171"/>
      <c r="C56" s="46" t="s">
        <v>79</v>
      </c>
      <c r="D56" s="17">
        <v>2006</v>
      </c>
      <c r="E56" s="17"/>
      <c r="F56" s="11"/>
      <c r="G56" s="14"/>
      <c r="H56" s="14"/>
      <c r="I56" s="11"/>
      <c r="J56" s="11"/>
      <c r="K56" s="11"/>
      <c r="L56" s="15">
        <f t="shared" si="0"/>
        <v>74352.52</v>
      </c>
      <c r="M56" s="18"/>
      <c r="N56" s="12"/>
      <c r="O56" s="15">
        <f t="shared" si="1"/>
        <v>0</v>
      </c>
      <c r="P56" s="135">
        <v>74352.52</v>
      </c>
      <c r="Q56" s="131" t="s">
        <v>46</v>
      </c>
    </row>
    <row r="57" spans="1:17" s="45" customFormat="1">
      <c r="A57" s="171"/>
      <c r="B57" s="171"/>
      <c r="C57" s="46" t="s">
        <v>80</v>
      </c>
      <c r="D57" s="17">
        <v>2011</v>
      </c>
      <c r="E57" s="17"/>
      <c r="F57" s="11"/>
      <c r="G57" s="14"/>
      <c r="H57" s="14"/>
      <c r="I57" s="11"/>
      <c r="J57" s="11"/>
      <c r="K57" s="11"/>
      <c r="L57" s="15">
        <f t="shared" si="0"/>
        <v>28870.51</v>
      </c>
      <c r="M57" s="18"/>
      <c r="N57" s="12"/>
      <c r="O57" s="15">
        <f t="shared" si="1"/>
        <v>0</v>
      </c>
      <c r="P57" s="135">
        <v>28870.51</v>
      </c>
      <c r="Q57" s="131" t="s">
        <v>46</v>
      </c>
    </row>
    <row r="58" spans="1:17" s="45" customFormat="1">
      <c r="A58" s="171"/>
      <c r="B58" s="171"/>
      <c r="C58" s="46" t="s">
        <v>81</v>
      </c>
      <c r="D58" s="17">
        <v>2011</v>
      </c>
      <c r="E58" s="17"/>
      <c r="F58" s="11"/>
      <c r="G58" s="14"/>
      <c r="H58" s="14"/>
      <c r="I58" s="11"/>
      <c r="J58" s="11"/>
      <c r="K58" s="11"/>
      <c r="L58" s="15">
        <f t="shared" si="0"/>
        <v>32502.75</v>
      </c>
      <c r="M58" s="18"/>
      <c r="N58" s="12"/>
      <c r="O58" s="15">
        <f t="shared" si="1"/>
        <v>0</v>
      </c>
      <c r="P58" s="135">
        <v>32502.75</v>
      </c>
      <c r="Q58" s="131" t="s">
        <v>46</v>
      </c>
    </row>
    <row r="59" spans="1:17" s="45" customFormat="1">
      <c r="A59" s="171"/>
      <c r="B59" s="171"/>
      <c r="C59" s="46" t="s">
        <v>82</v>
      </c>
      <c r="D59" s="17">
        <v>2011</v>
      </c>
      <c r="E59" s="17"/>
      <c r="F59" s="11"/>
      <c r="G59" s="14"/>
      <c r="H59" s="14"/>
      <c r="I59" s="11"/>
      <c r="J59" s="11"/>
      <c r="K59" s="11"/>
      <c r="L59" s="15">
        <f t="shared" si="0"/>
        <v>79603.75</v>
      </c>
      <c r="M59" s="18"/>
      <c r="N59" s="12"/>
      <c r="O59" s="15">
        <f t="shared" si="1"/>
        <v>0</v>
      </c>
      <c r="P59" s="135">
        <v>79603.75</v>
      </c>
      <c r="Q59" s="131" t="s">
        <v>46</v>
      </c>
    </row>
    <row r="60" spans="1:17" s="45" customFormat="1">
      <c r="A60" s="171"/>
      <c r="B60" s="171"/>
      <c r="C60" s="46" t="s">
        <v>83</v>
      </c>
      <c r="D60" s="17">
        <v>2011</v>
      </c>
      <c r="E60" s="17"/>
      <c r="F60" s="11"/>
      <c r="G60" s="14"/>
      <c r="H60" s="14"/>
      <c r="I60" s="11"/>
      <c r="J60" s="11"/>
      <c r="K60" s="11"/>
      <c r="L60" s="15">
        <f t="shared" si="0"/>
        <v>236191.86</v>
      </c>
      <c r="M60" s="18"/>
      <c r="N60" s="12"/>
      <c r="O60" s="15">
        <f t="shared" si="1"/>
        <v>0</v>
      </c>
      <c r="P60" s="135">
        <v>236191.86</v>
      </c>
      <c r="Q60" s="131" t="s">
        <v>46</v>
      </c>
    </row>
    <row r="61" spans="1:17" s="45" customFormat="1">
      <c r="A61" s="171"/>
      <c r="B61" s="171"/>
      <c r="C61" s="46" t="s">
        <v>84</v>
      </c>
      <c r="D61" s="17">
        <v>1992</v>
      </c>
      <c r="E61" s="17"/>
      <c r="F61" s="11"/>
      <c r="G61" s="14"/>
      <c r="H61" s="14"/>
      <c r="I61" s="11"/>
      <c r="J61" s="11"/>
      <c r="K61" s="11"/>
      <c r="L61" s="15">
        <f t="shared" si="0"/>
        <v>10187.5</v>
      </c>
      <c r="M61" s="18"/>
      <c r="N61" s="12"/>
      <c r="O61" s="15">
        <f t="shared" si="1"/>
        <v>0</v>
      </c>
      <c r="P61" s="135">
        <v>10187.5</v>
      </c>
      <c r="Q61" s="131" t="s">
        <v>46</v>
      </c>
    </row>
    <row r="62" spans="1:17" s="45" customFormat="1">
      <c r="A62" s="171"/>
      <c r="B62" s="171"/>
      <c r="C62" s="46" t="s">
        <v>85</v>
      </c>
      <c r="D62" s="17">
        <v>1964</v>
      </c>
      <c r="E62" s="17"/>
      <c r="F62" s="11"/>
      <c r="G62" s="14"/>
      <c r="H62" s="14"/>
      <c r="I62" s="11"/>
      <c r="J62" s="11"/>
      <c r="K62" s="11"/>
      <c r="L62" s="15">
        <f t="shared" si="0"/>
        <v>2960.22</v>
      </c>
      <c r="M62" s="18"/>
      <c r="N62" s="12"/>
      <c r="O62" s="15"/>
      <c r="P62" s="135">
        <v>2960.22</v>
      </c>
      <c r="Q62" s="131" t="s">
        <v>46</v>
      </c>
    </row>
    <row r="63" spans="1:17" s="45" customFormat="1">
      <c r="A63" s="171"/>
      <c r="B63" s="171"/>
      <c r="C63" s="46" t="s">
        <v>86</v>
      </c>
      <c r="D63" s="17">
        <v>1971</v>
      </c>
      <c r="E63" s="17"/>
      <c r="F63" s="11"/>
      <c r="G63" s="14"/>
      <c r="H63" s="14"/>
      <c r="I63" s="11"/>
      <c r="J63" s="11"/>
      <c r="K63" s="11"/>
      <c r="L63" s="15">
        <f t="shared" si="0"/>
        <v>3511.83</v>
      </c>
      <c r="M63" s="18"/>
      <c r="N63" s="12"/>
      <c r="O63" s="15"/>
      <c r="P63" s="135">
        <v>3511.83</v>
      </c>
      <c r="Q63" s="131" t="s">
        <v>46</v>
      </c>
    </row>
    <row r="64" spans="1:17" s="45" customFormat="1">
      <c r="A64" s="171"/>
      <c r="B64" s="171"/>
      <c r="C64" s="46" t="s">
        <v>87</v>
      </c>
      <c r="D64" s="17">
        <v>1981</v>
      </c>
      <c r="E64" s="17"/>
      <c r="F64" s="11"/>
      <c r="G64" s="14"/>
      <c r="H64" s="14"/>
      <c r="I64" s="11"/>
      <c r="J64" s="11"/>
      <c r="K64" s="11"/>
      <c r="L64" s="15">
        <f t="shared" si="0"/>
        <v>1103.18</v>
      </c>
      <c r="M64" s="18"/>
      <c r="N64" s="12"/>
      <c r="O64" s="15"/>
      <c r="P64" s="135">
        <v>1103.18</v>
      </c>
      <c r="Q64" s="131" t="s">
        <v>46</v>
      </c>
    </row>
    <row r="65" spans="1:17" s="45" customFormat="1">
      <c r="A65" s="171"/>
      <c r="B65" s="171"/>
      <c r="C65" s="46" t="s">
        <v>88</v>
      </c>
      <c r="D65" s="17">
        <v>1992</v>
      </c>
      <c r="E65" s="17"/>
      <c r="F65" s="11"/>
      <c r="G65" s="14"/>
      <c r="H65" s="14"/>
      <c r="I65" s="11"/>
      <c r="J65" s="11"/>
      <c r="K65" s="11"/>
      <c r="L65" s="15">
        <f t="shared" si="0"/>
        <v>485.46</v>
      </c>
      <c r="M65" s="18"/>
      <c r="N65" s="12"/>
      <c r="O65" s="15">
        <f t="shared" si="1"/>
        <v>0</v>
      </c>
      <c r="P65" s="135">
        <v>485.46</v>
      </c>
      <c r="Q65" s="131" t="s">
        <v>46</v>
      </c>
    </row>
    <row r="66" spans="1:17" s="45" customFormat="1">
      <c r="A66" s="171"/>
      <c r="B66" s="171"/>
      <c r="C66" s="46" t="s">
        <v>89</v>
      </c>
      <c r="D66" s="17">
        <v>1989</v>
      </c>
      <c r="E66" s="17"/>
      <c r="F66" s="11"/>
      <c r="G66" s="14"/>
      <c r="H66" s="14"/>
      <c r="I66" s="11"/>
      <c r="J66" s="11"/>
      <c r="K66" s="11"/>
      <c r="L66" s="15">
        <f t="shared" si="0"/>
        <v>1040.5</v>
      </c>
      <c r="M66" s="18"/>
      <c r="N66" s="12"/>
      <c r="O66" s="15">
        <f t="shared" si="1"/>
        <v>0</v>
      </c>
      <c r="P66" s="135">
        <v>1040.5</v>
      </c>
      <c r="Q66" s="131" t="s">
        <v>46</v>
      </c>
    </row>
    <row r="67" spans="1:17" s="45" customFormat="1">
      <c r="A67" s="171"/>
      <c r="B67" s="171"/>
      <c r="C67" s="46" t="s">
        <v>90</v>
      </c>
      <c r="D67" s="17"/>
      <c r="E67" s="17"/>
      <c r="F67" s="11"/>
      <c r="G67" s="14"/>
      <c r="H67" s="14"/>
      <c r="I67" s="11"/>
      <c r="J67" s="11"/>
      <c r="K67" s="11" t="s">
        <v>18</v>
      </c>
      <c r="L67" s="15">
        <f t="shared" si="0"/>
        <v>853.7</v>
      </c>
      <c r="M67" s="18"/>
      <c r="N67" s="12"/>
      <c r="O67" s="15">
        <f t="shared" si="1"/>
        <v>0</v>
      </c>
      <c r="P67" s="135">
        <v>853.7</v>
      </c>
      <c r="Q67" s="131" t="s">
        <v>46</v>
      </c>
    </row>
    <row r="68" spans="1:17" s="45" customFormat="1">
      <c r="A68" s="171"/>
      <c r="B68" s="171"/>
      <c r="C68" s="46" t="s">
        <v>91</v>
      </c>
      <c r="D68" s="17"/>
      <c r="E68" s="17"/>
      <c r="F68" s="11"/>
      <c r="G68" s="14"/>
      <c r="H68" s="14"/>
      <c r="I68" s="11"/>
      <c r="J68" s="11"/>
      <c r="K68" s="11"/>
      <c r="L68" s="15">
        <f t="shared" si="0"/>
        <v>5002</v>
      </c>
      <c r="M68" s="18"/>
      <c r="N68" s="12"/>
      <c r="O68" s="15">
        <f t="shared" si="1"/>
        <v>0</v>
      </c>
      <c r="P68" s="135">
        <v>5002</v>
      </c>
      <c r="Q68" s="131" t="s">
        <v>46</v>
      </c>
    </row>
    <row r="69" spans="1:17" s="45" customFormat="1">
      <c r="A69" s="171"/>
      <c r="B69" s="171"/>
      <c r="C69" s="46" t="s">
        <v>93</v>
      </c>
      <c r="D69" s="17"/>
      <c r="E69" s="17"/>
      <c r="F69" s="11" t="s">
        <v>18</v>
      </c>
      <c r="G69" s="14"/>
      <c r="H69" s="14"/>
      <c r="I69" s="11"/>
      <c r="J69" s="11"/>
      <c r="K69" s="11"/>
      <c r="L69" s="15">
        <f t="shared" si="0"/>
        <v>616.41999999999996</v>
      </c>
      <c r="M69" s="18"/>
      <c r="N69" s="12"/>
      <c r="O69" s="15">
        <f t="shared" si="1"/>
        <v>0</v>
      </c>
      <c r="P69" s="135">
        <v>616.41999999999996</v>
      </c>
      <c r="Q69" s="131" t="s">
        <v>46</v>
      </c>
    </row>
    <row r="70" spans="1:17" s="45" customFormat="1">
      <c r="A70" s="171"/>
      <c r="B70" s="171"/>
      <c r="C70" s="46" t="s">
        <v>94</v>
      </c>
      <c r="D70" s="17"/>
      <c r="E70" s="17"/>
      <c r="F70" s="11"/>
      <c r="G70" s="14"/>
      <c r="H70" s="14"/>
      <c r="I70" s="11"/>
      <c r="J70" s="11"/>
      <c r="K70" s="11"/>
      <c r="L70" s="15">
        <f t="shared" si="0"/>
        <v>2789.12</v>
      </c>
      <c r="M70" s="18"/>
      <c r="N70" s="12"/>
      <c r="O70" s="15">
        <f t="shared" si="1"/>
        <v>0</v>
      </c>
      <c r="P70" s="135">
        <v>2789.12</v>
      </c>
      <c r="Q70" s="131" t="s">
        <v>46</v>
      </c>
    </row>
    <row r="71" spans="1:17" s="45" customFormat="1">
      <c r="A71" s="171"/>
      <c r="B71" s="171"/>
      <c r="C71" s="46" t="s">
        <v>92</v>
      </c>
      <c r="D71" s="17"/>
      <c r="E71" s="17"/>
      <c r="F71" s="11"/>
      <c r="G71" s="14"/>
      <c r="H71" s="14"/>
      <c r="I71" s="11"/>
      <c r="J71" s="11"/>
      <c r="K71" s="11"/>
      <c r="L71" s="15">
        <f t="shared" si="0"/>
        <v>3746.2</v>
      </c>
      <c r="M71" s="18"/>
      <c r="N71" s="12"/>
      <c r="O71" s="15">
        <f t="shared" si="1"/>
        <v>0</v>
      </c>
      <c r="P71" s="135">
        <v>3746.2</v>
      </c>
      <c r="Q71" s="131" t="s">
        <v>46</v>
      </c>
    </row>
    <row r="72" spans="1:17" s="45" customFormat="1">
      <c r="A72" s="171"/>
      <c r="B72" s="171"/>
      <c r="C72" s="46" t="s">
        <v>95</v>
      </c>
      <c r="D72" s="17"/>
      <c r="E72" s="17"/>
      <c r="F72" s="11"/>
      <c r="G72" s="14"/>
      <c r="H72" s="14"/>
      <c r="I72" s="11"/>
      <c r="J72" s="11"/>
      <c r="K72" s="11"/>
      <c r="L72" s="15">
        <f t="shared" si="0"/>
        <v>3619.9</v>
      </c>
      <c r="M72" s="18"/>
      <c r="N72" s="12"/>
      <c r="O72" s="15">
        <f t="shared" si="1"/>
        <v>0</v>
      </c>
      <c r="P72" s="135">
        <v>3619.9</v>
      </c>
      <c r="Q72" s="131" t="s">
        <v>46</v>
      </c>
    </row>
    <row r="73" spans="1:17" s="45" customFormat="1">
      <c r="A73" s="171"/>
      <c r="B73" s="171"/>
      <c r="C73" s="46" t="s">
        <v>96</v>
      </c>
      <c r="D73" s="17"/>
      <c r="E73" s="17"/>
      <c r="F73" s="11"/>
      <c r="G73" s="14"/>
      <c r="H73" s="14"/>
      <c r="I73" s="11"/>
      <c r="J73" s="11"/>
      <c r="K73" s="11"/>
      <c r="L73" s="15">
        <f t="shared" si="0"/>
        <v>6312.3</v>
      </c>
      <c r="M73" s="18"/>
      <c r="N73" s="12"/>
      <c r="O73" s="15">
        <f t="shared" si="1"/>
        <v>0</v>
      </c>
      <c r="P73" s="135">
        <v>6312.3</v>
      </c>
      <c r="Q73" s="131" t="s">
        <v>46</v>
      </c>
    </row>
    <row r="74" spans="1:17" s="45" customFormat="1">
      <c r="A74" s="171"/>
      <c r="B74" s="171"/>
      <c r="C74" s="46" t="s">
        <v>97</v>
      </c>
      <c r="D74" s="17"/>
      <c r="E74" s="17"/>
      <c r="F74" s="11"/>
      <c r="G74" s="14"/>
      <c r="H74" s="14"/>
      <c r="I74" s="11"/>
      <c r="J74" s="11"/>
      <c r="K74" s="11"/>
      <c r="L74" s="15">
        <f t="shared" si="0"/>
        <v>5326.69</v>
      </c>
      <c r="M74" s="18"/>
      <c r="N74" s="12"/>
      <c r="O74" s="15">
        <f t="shared" si="1"/>
        <v>0</v>
      </c>
      <c r="P74" s="135">
        <v>5326.69</v>
      </c>
      <c r="Q74" s="131" t="s">
        <v>46</v>
      </c>
    </row>
    <row r="75" spans="1:17" s="45" customFormat="1">
      <c r="A75" s="171"/>
      <c r="B75" s="171"/>
      <c r="C75" s="46" t="s">
        <v>98</v>
      </c>
      <c r="D75" s="17"/>
      <c r="E75" s="17"/>
      <c r="F75" s="11"/>
      <c r="G75" s="14"/>
      <c r="H75" s="14"/>
      <c r="I75" s="11"/>
      <c r="J75" s="11"/>
      <c r="K75" s="11"/>
      <c r="L75" s="15">
        <f t="shared" si="0"/>
        <v>1147.5</v>
      </c>
      <c r="M75" s="18"/>
      <c r="N75" s="12"/>
      <c r="O75" s="15">
        <f t="shared" si="1"/>
        <v>0</v>
      </c>
      <c r="P75" s="135">
        <v>1147.5</v>
      </c>
      <c r="Q75" s="131" t="s">
        <v>46</v>
      </c>
    </row>
    <row r="76" spans="1:17" s="45" customFormat="1">
      <c r="A76" s="171"/>
      <c r="B76" s="171"/>
      <c r="C76" s="46" t="s">
        <v>98</v>
      </c>
      <c r="D76" s="17"/>
      <c r="E76" s="17"/>
      <c r="F76" s="11"/>
      <c r="G76" s="14"/>
      <c r="H76" s="14"/>
      <c r="I76" s="11"/>
      <c r="J76" s="11"/>
      <c r="K76" s="11"/>
      <c r="L76" s="15">
        <f t="shared" si="0"/>
        <v>1147.5</v>
      </c>
      <c r="M76" s="18"/>
      <c r="N76" s="12"/>
      <c r="O76" s="15">
        <f t="shared" si="1"/>
        <v>0</v>
      </c>
      <c r="P76" s="135">
        <v>1147.5</v>
      </c>
      <c r="Q76" s="131" t="s">
        <v>46</v>
      </c>
    </row>
    <row r="77" spans="1:17" s="45" customFormat="1">
      <c r="A77" s="171"/>
      <c r="B77" s="171"/>
      <c r="C77" s="46" t="s">
        <v>99</v>
      </c>
      <c r="D77" s="17"/>
      <c r="E77" s="17"/>
      <c r="F77" s="11"/>
      <c r="G77" s="14"/>
      <c r="H77" s="14"/>
      <c r="I77" s="11"/>
      <c r="J77" s="11"/>
      <c r="K77" s="11"/>
      <c r="L77" s="15">
        <f t="shared" si="0"/>
        <v>6980.09</v>
      </c>
      <c r="M77" s="18"/>
      <c r="N77" s="12"/>
      <c r="O77" s="15">
        <f t="shared" si="1"/>
        <v>0</v>
      </c>
      <c r="P77" s="135">
        <v>6980.09</v>
      </c>
      <c r="Q77" s="131" t="s">
        <v>46</v>
      </c>
    </row>
    <row r="78" spans="1:17" s="45" customFormat="1">
      <c r="A78" s="171"/>
      <c r="B78" s="171"/>
      <c r="C78" s="46" t="s">
        <v>100</v>
      </c>
      <c r="D78" s="17"/>
      <c r="E78" s="17"/>
      <c r="F78" s="11"/>
      <c r="G78" s="14"/>
      <c r="H78" s="14"/>
      <c r="I78" s="11"/>
      <c r="J78" s="11"/>
      <c r="K78" s="11"/>
      <c r="L78" s="15">
        <f t="shared" si="0"/>
        <v>40701.64</v>
      </c>
      <c r="M78" s="18"/>
      <c r="N78" s="12"/>
      <c r="O78" s="15">
        <f t="shared" si="1"/>
        <v>0</v>
      </c>
      <c r="P78" s="135">
        <v>40701.64</v>
      </c>
      <c r="Q78" s="131" t="s">
        <v>46</v>
      </c>
    </row>
    <row r="79" spans="1:17" s="45" customFormat="1">
      <c r="A79" s="171"/>
      <c r="B79" s="171"/>
      <c r="C79" s="46" t="s">
        <v>101</v>
      </c>
      <c r="D79" s="17"/>
      <c r="E79" s="17"/>
      <c r="F79" s="11"/>
      <c r="G79" s="14"/>
      <c r="H79" s="14"/>
      <c r="I79" s="11"/>
      <c r="J79" s="11"/>
      <c r="K79" s="11"/>
      <c r="L79" s="15">
        <f t="shared" si="0"/>
        <v>3514.77</v>
      </c>
      <c r="M79" s="18"/>
      <c r="N79" s="12"/>
      <c r="O79" s="15">
        <f t="shared" si="1"/>
        <v>0</v>
      </c>
      <c r="P79" s="151">
        <v>3514.77</v>
      </c>
      <c r="Q79" s="131" t="s">
        <v>46</v>
      </c>
    </row>
    <row r="80" spans="1:17" s="45" customFormat="1">
      <c r="A80" s="171"/>
      <c r="B80" s="171"/>
      <c r="C80" s="46" t="s">
        <v>102</v>
      </c>
      <c r="D80" s="17"/>
      <c r="E80" s="17"/>
      <c r="F80" s="11"/>
      <c r="G80" s="14"/>
      <c r="H80" s="14"/>
      <c r="I80" s="11"/>
      <c r="J80" s="11"/>
      <c r="K80" s="11"/>
      <c r="L80" s="15">
        <f t="shared" si="0"/>
        <v>5800</v>
      </c>
      <c r="M80" s="18"/>
      <c r="N80" s="12"/>
      <c r="O80" s="15">
        <f t="shared" si="1"/>
        <v>0</v>
      </c>
      <c r="P80" s="135">
        <v>5800</v>
      </c>
      <c r="Q80" s="131" t="s">
        <v>46</v>
      </c>
    </row>
    <row r="81" spans="1:17" s="45" customFormat="1">
      <c r="A81" s="171"/>
      <c r="B81" s="171"/>
      <c r="C81" s="46" t="s">
        <v>103</v>
      </c>
      <c r="D81" s="17"/>
      <c r="E81" s="17"/>
      <c r="F81" s="11"/>
      <c r="G81" s="14"/>
      <c r="H81" s="14"/>
      <c r="I81" s="11"/>
      <c r="J81" s="11"/>
      <c r="K81" s="11"/>
      <c r="L81" s="15">
        <f t="shared" si="0"/>
        <v>4400.0200000000004</v>
      </c>
      <c r="M81" s="18"/>
      <c r="N81" s="12"/>
      <c r="O81" s="15">
        <f t="shared" si="1"/>
        <v>0</v>
      </c>
      <c r="P81" s="135">
        <v>4400.0200000000004</v>
      </c>
      <c r="Q81" s="131" t="s">
        <v>46</v>
      </c>
    </row>
    <row r="82" spans="1:17" s="45" customFormat="1">
      <c r="A82" s="171"/>
      <c r="B82" s="171"/>
      <c r="C82" s="46" t="s">
        <v>104</v>
      </c>
      <c r="D82" s="17"/>
      <c r="E82" s="17"/>
      <c r="F82" s="11"/>
      <c r="G82" s="14"/>
      <c r="H82" s="14"/>
      <c r="I82" s="11"/>
      <c r="J82" s="11"/>
      <c r="K82" s="11"/>
      <c r="L82" s="15">
        <f t="shared" si="0"/>
        <v>4400.0200000000004</v>
      </c>
      <c r="M82" s="18"/>
      <c r="N82" s="12"/>
      <c r="O82" s="15">
        <f t="shared" ref="O82:O87" si="2">N82*E82</f>
        <v>0</v>
      </c>
      <c r="P82" s="135">
        <v>4400.0200000000004</v>
      </c>
      <c r="Q82" s="131" t="s">
        <v>46</v>
      </c>
    </row>
    <row r="83" spans="1:17" s="45" customFormat="1">
      <c r="A83" s="171"/>
      <c r="B83" s="171"/>
      <c r="C83" s="46" t="s">
        <v>105</v>
      </c>
      <c r="D83" s="17"/>
      <c r="E83" s="17"/>
      <c r="F83" s="11"/>
      <c r="G83" s="14"/>
      <c r="H83" s="14"/>
      <c r="I83" s="11"/>
      <c r="J83" s="11"/>
      <c r="K83" s="11"/>
      <c r="L83" s="15">
        <f t="shared" si="0"/>
        <v>4136.79</v>
      </c>
      <c r="M83" s="18"/>
      <c r="N83" s="12"/>
      <c r="O83" s="15">
        <f t="shared" si="2"/>
        <v>0</v>
      </c>
      <c r="P83" s="135">
        <v>4136.79</v>
      </c>
      <c r="Q83" s="131" t="s">
        <v>46</v>
      </c>
    </row>
    <row r="84" spans="1:17" s="45" customFormat="1">
      <c r="A84" s="171"/>
      <c r="B84" s="171"/>
      <c r="C84" s="46" t="s">
        <v>106</v>
      </c>
      <c r="D84" s="17"/>
      <c r="E84" s="17"/>
      <c r="F84" s="11"/>
      <c r="G84" s="14"/>
      <c r="H84" s="14"/>
      <c r="I84" s="11"/>
      <c r="J84" s="11"/>
      <c r="K84" s="11" t="s">
        <v>18</v>
      </c>
      <c r="L84" s="15">
        <f t="shared" si="0"/>
        <v>4210.46</v>
      </c>
      <c r="M84" s="18"/>
      <c r="N84" s="12"/>
      <c r="O84" s="15">
        <f t="shared" si="2"/>
        <v>0</v>
      </c>
      <c r="P84" s="135">
        <v>4210.46</v>
      </c>
      <c r="Q84" s="131" t="s">
        <v>46</v>
      </c>
    </row>
    <row r="85" spans="1:17" s="45" customFormat="1">
      <c r="A85" s="171"/>
      <c r="B85" s="171"/>
      <c r="C85" s="46" t="s">
        <v>103</v>
      </c>
      <c r="D85" s="17"/>
      <c r="E85" s="17"/>
      <c r="F85" s="11"/>
      <c r="G85" s="14"/>
      <c r="H85" s="14"/>
      <c r="I85" s="11"/>
      <c r="J85" s="11"/>
      <c r="K85" s="11"/>
      <c r="L85" s="15">
        <f t="shared" si="0"/>
        <v>5150.18</v>
      </c>
      <c r="M85" s="18"/>
      <c r="N85" s="12"/>
      <c r="O85" s="15">
        <f t="shared" si="2"/>
        <v>0</v>
      </c>
      <c r="P85" s="135">
        <v>5150.18</v>
      </c>
      <c r="Q85" s="131" t="s">
        <v>46</v>
      </c>
    </row>
    <row r="86" spans="1:17" s="45" customFormat="1">
      <c r="A86" s="171"/>
      <c r="B86" s="171"/>
      <c r="C86" s="46" t="s">
        <v>107</v>
      </c>
      <c r="D86" s="17"/>
      <c r="E86" s="17"/>
      <c r="F86" s="11"/>
      <c r="G86" s="14"/>
      <c r="H86" s="14"/>
      <c r="I86" s="11"/>
      <c r="J86" s="11"/>
      <c r="K86" s="11"/>
      <c r="L86" s="15">
        <f t="shared" si="0"/>
        <v>5999.96</v>
      </c>
      <c r="M86" s="18"/>
      <c r="N86" s="12"/>
      <c r="O86" s="15">
        <f t="shared" si="2"/>
        <v>0</v>
      </c>
      <c r="P86" s="151">
        <v>5999.96</v>
      </c>
      <c r="Q86" s="131" t="s">
        <v>46</v>
      </c>
    </row>
    <row r="87" spans="1:17" s="45" customFormat="1">
      <c r="A87" s="171"/>
      <c r="B87" s="171"/>
      <c r="C87" s="46" t="s">
        <v>108</v>
      </c>
      <c r="D87" s="17">
        <v>2011</v>
      </c>
      <c r="E87" s="17"/>
      <c r="F87" s="11"/>
      <c r="G87" s="14"/>
      <c r="H87" s="14"/>
      <c r="I87" s="11"/>
      <c r="J87" s="11"/>
      <c r="K87" s="11"/>
      <c r="L87" s="15">
        <f t="shared" si="0"/>
        <v>12511.44</v>
      </c>
      <c r="M87" s="18"/>
      <c r="N87" s="12"/>
      <c r="O87" s="15">
        <f t="shared" si="2"/>
        <v>0</v>
      </c>
      <c r="P87" s="135">
        <v>12511.44</v>
      </c>
      <c r="Q87" s="131" t="s">
        <v>46</v>
      </c>
    </row>
    <row r="88" spans="1:17" s="45" customFormat="1">
      <c r="A88" s="172"/>
      <c r="B88" s="172"/>
      <c r="C88" s="136" t="s">
        <v>425</v>
      </c>
      <c r="D88" s="137"/>
      <c r="E88" s="137"/>
      <c r="F88" s="138"/>
      <c r="G88" s="139"/>
      <c r="H88" s="139"/>
      <c r="I88" s="138"/>
      <c r="J88" s="138"/>
      <c r="K88" s="138"/>
      <c r="L88" s="15">
        <f t="shared" si="0"/>
        <v>2595463.6900000004</v>
      </c>
      <c r="M88" s="141"/>
      <c r="N88" s="142"/>
      <c r="O88" s="140"/>
      <c r="P88" s="145">
        <f>118709.2+27130.28+89477.53+102864+131925.45+49709.57+39723+55384.84+28718.59+35380.96+27349.3+8540+221747.05+46760.61+10221.44+121145.99+46842.5+52769.63+301961.23+20000+106689.48+58474.49+491545.62+21148.81+51015.91+78177.7+28046.25+3250.81+18079.38+119089.1+83584.97</f>
        <v>2595463.6900000004</v>
      </c>
      <c r="Q88" s="144" t="s">
        <v>46</v>
      </c>
    </row>
    <row r="89" spans="1:17" s="45" customFormat="1">
      <c r="A89" s="171"/>
      <c r="B89" s="171"/>
      <c r="C89" s="46" t="s">
        <v>238</v>
      </c>
      <c r="D89" s="17">
        <v>2014</v>
      </c>
      <c r="E89" s="17"/>
      <c r="F89" s="11"/>
      <c r="G89" s="14"/>
      <c r="H89" s="14"/>
      <c r="I89" s="11"/>
      <c r="J89" s="11"/>
      <c r="K89" s="11"/>
      <c r="L89" s="15">
        <f t="shared" si="0"/>
        <v>3966.75</v>
      </c>
      <c r="M89" s="18"/>
      <c r="N89" s="12"/>
      <c r="O89" s="15"/>
      <c r="P89" s="135">
        <v>3966.75</v>
      </c>
      <c r="Q89" s="131" t="s">
        <v>46</v>
      </c>
    </row>
    <row r="90" spans="1:17" s="45" customFormat="1">
      <c r="A90" s="171"/>
      <c r="B90" s="171"/>
      <c r="C90" s="46" t="s">
        <v>239</v>
      </c>
      <c r="D90" s="17">
        <v>2014</v>
      </c>
      <c r="E90" s="17"/>
      <c r="F90" s="11"/>
      <c r="G90" s="14"/>
      <c r="H90" s="14"/>
      <c r="I90" s="11"/>
      <c r="J90" s="11"/>
      <c r="K90" s="11"/>
      <c r="L90" s="15">
        <f>IF(O90&gt;P90,O90,P90)</f>
        <v>5535</v>
      </c>
      <c r="M90" s="18"/>
      <c r="N90" s="12"/>
      <c r="O90" s="15"/>
      <c r="P90" s="135">
        <v>5535</v>
      </c>
      <c r="Q90" s="131" t="s">
        <v>46</v>
      </c>
    </row>
    <row r="91" spans="1:17" s="45" customFormat="1">
      <c r="A91" s="171"/>
      <c r="B91" s="171"/>
      <c r="C91" s="46" t="s">
        <v>426</v>
      </c>
      <c r="D91" s="17"/>
      <c r="E91" s="17"/>
      <c r="F91" s="11"/>
      <c r="G91" s="14"/>
      <c r="H91" s="14"/>
      <c r="I91" s="11"/>
      <c r="J91" s="11"/>
      <c r="K91" s="11"/>
      <c r="L91" s="15">
        <f t="shared" si="0"/>
        <v>12822.75</v>
      </c>
      <c r="M91" s="18"/>
      <c r="N91" s="12"/>
      <c r="O91" s="15">
        <f t="shared" ref="O91:O103" si="3">N91*E91</f>
        <v>0</v>
      </c>
      <c r="P91" s="135">
        <v>12822.75</v>
      </c>
      <c r="Q91" s="131" t="s">
        <v>46</v>
      </c>
    </row>
    <row r="92" spans="1:17" s="45" customFormat="1">
      <c r="A92" s="171"/>
      <c r="B92" s="171"/>
      <c r="C92" s="46" t="s">
        <v>240</v>
      </c>
      <c r="D92" s="17">
        <v>2015</v>
      </c>
      <c r="E92" s="17"/>
      <c r="F92" s="11"/>
      <c r="G92" s="14"/>
      <c r="H92" s="14"/>
      <c r="I92" s="11"/>
      <c r="J92" s="11"/>
      <c r="K92" s="11"/>
      <c r="L92" s="15">
        <f t="shared" si="0"/>
        <v>676120.81</v>
      </c>
      <c r="M92" s="18"/>
      <c r="N92" s="12"/>
      <c r="O92" s="15"/>
      <c r="P92" s="135">
        <v>676120.81</v>
      </c>
      <c r="Q92" s="131" t="s">
        <v>46</v>
      </c>
    </row>
    <row r="93" spans="1:17" s="45" customFormat="1">
      <c r="A93" s="171"/>
      <c r="B93" s="171"/>
      <c r="C93" s="46" t="s">
        <v>241</v>
      </c>
      <c r="D93" s="17">
        <v>2015</v>
      </c>
      <c r="E93" s="17"/>
      <c r="F93" s="11"/>
      <c r="G93" s="14"/>
      <c r="H93" s="14"/>
      <c r="I93" s="11"/>
      <c r="J93" s="11"/>
      <c r="K93" s="11"/>
      <c r="L93" s="15">
        <f t="shared" ref="L93:L99" si="4">IF(O93&gt;P93,O93,P93)</f>
        <v>95147.46</v>
      </c>
      <c r="M93" s="18"/>
      <c r="N93" s="12"/>
      <c r="O93" s="15"/>
      <c r="P93" s="135">
        <v>95147.46</v>
      </c>
      <c r="Q93" s="131" t="s">
        <v>46</v>
      </c>
    </row>
    <row r="94" spans="1:17" s="45" customFormat="1">
      <c r="A94" s="171"/>
      <c r="B94" s="171"/>
      <c r="C94" s="46" t="s">
        <v>427</v>
      </c>
      <c r="D94" s="17">
        <v>2014</v>
      </c>
      <c r="E94" s="17"/>
      <c r="F94" s="11"/>
      <c r="G94" s="14"/>
      <c r="H94" s="14"/>
      <c r="I94" s="11"/>
      <c r="J94" s="11"/>
      <c r="K94" s="11"/>
      <c r="L94" s="15">
        <f t="shared" si="4"/>
        <v>5926.14</v>
      </c>
      <c r="M94" s="18"/>
      <c r="N94" s="12"/>
      <c r="O94" s="15">
        <f t="shared" si="3"/>
        <v>0</v>
      </c>
      <c r="P94" s="135">
        <v>5926.14</v>
      </c>
      <c r="Q94" s="131" t="s">
        <v>46</v>
      </c>
    </row>
    <row r="95" spans="1:17" s="45" customFormat="1">
      <c r="A95" s="172"/>
      <c r="B95" s="172"/>
      <c r="C95" s="46" t="s">
        <v>428</v>
      </c>
      <c r="D95" s="17">
        <v>2014</v>
      </c>
      <c r="E95" s="137"/>
      <c r="F95" s="138"/>
      <c r="G95" s="139"/>
      <c r="H95" s="139"/>
      <c r="I95" s="138"/>
      <c r="J95" s="138"/>
      <c r="K95" s="138"/>
      <c r="L95" s="15">
        <f t="shared" si="4"/>
        <v>3774.87</v>
      </c>
      <c r="M95" s="141"/>
      <c r="N95" s="142"/>
      <c r="O95" s="140"/>
      <c r="P95" s="145">
        <v>3774.87</v>
      </c>
      <c r="Q95" s="131" t="s">
        <v>46</v>
      </c>
    </row>
    <row r="96" spans="1:17" s="45" customFormat="1">
      <c r="A96" s="172"/>
      <c r="B96" s="172"/>
      <c r="C96" s="46" t="s">
        <v>429</v>
      </c>
      <c r="D96" s="17">
        <v>2014</v>
      </c>
      <c r="E96" s="137"/>
      <c r="F96" s="138"/>
      <c r="G96" s="139"/>
      <c r="H96" s="139"/>
      <c r="I96" s="138"/>
      <c r="J96" s="138"/>
      <c r="K96" s="138"/>
      <c r="L96" s="15">
        <f t="shared" si="4"/>
        <v>5263.17</v>
      </c>
      <c r="M96" s="141"/>
      <c r="N96" s="142"/>
      <c r="O96" s="140"/>
      <c r="P96" s="145">
        <v>5263.17</v>
      </c>
      <c r="Q96" s="131" t="s">
        <v>46</v>
      </c>
    </row>
    <row r="97" spans="1:17" s="45" customFormat="1">
      <c r="A97" s="172"/>
      <c r="B97" s="172"/>
      <c r="C97" s="46" t="s">
        <v>430</v>
      </c>
      <c r="D97" s="17">
        <v>2014</v>
      </c>
      <c r="E97" s="137"/>
      <c r="F97" s="138"/>
      <c r="G97" s="139"/>
      <c r="H97" s="139"/>
      <c r="I97" s="138"/>
      <c r="J97" s="138"/>
      <c r="K97" s="138"/>
      <c r="L97" s="15">
        <f t="shared" si="4"/>
        <v>7698.57</v>
      </c>
      <c r="M97" s="141"/>
      <c r="N97" s="142"/>
      <c r="O97" s="140"/>
      <c r="P97" s="145">
        <v>7698.57</v>
      </c>
      <c r="Q97" s="131" t="s">
        <v>46</v>
      </c>
    </row>
    <row r="98" spans="1:17" s="45" customFormat="1">
      <c r="A98" s="171"/>
      <c r="B98" s="171"/>
      <c r="C98" s="46" t="s">
        <v>242</v>
      </c>
      <c r="D98" s="17">
        <v>2014</v>
      </c>
      <c r="E98" s="17"/>
      <c r="F98" s="11"/>
      <c r="G98" s="14"/>
      <c r="H98" s="14"/>
      <c r="I98" s="11"/>
      <c r="J98" s="11"/>
      <c r="K98" s="11"/>
      <c r="L98" s="15">
        <f t="shared" si="4"/>
        <v>65235.98</v>
      </c>
      <c r="M98" s="18"/>
      <c r="N98" s="12"/>
      <c r="O98" s="15">
        <f t="shared" si="3"/>
        <v>0</v>
      </c>
      <c r="P98" s="135">
        <v>65235.98</v>
      </c>
      <c r="Q98" s="131" t="s">
        <v>46</v>
      </c>
    </row>
    <row r="99" spans="1:17" s="45" customFormat="1">
      <c r="A99" s="171"/>
      <c r="B99" s="171"/>
      <c r="C99" s="46" t="s">
        <v>243</v>
      </c>
      <c r="D99" s="17">
        <v>2015</v>
      </c>
      <c r="E99" s="17"/>
      <c r="F99" s="11"/>
      <c r="G99" s="14"/>
      <c r="H99" s="14"/>
      <c r="I99" s="11"/>
      <c r="J99" s="11"/>
      <c r="K99" s="11"/>
      <c r="L99" s="15">
        <f t="shared" si="4"/>
        <v>5497.72</v>
      </c>
      <c r="M99" s="18"/>
      <c r="N99" s="12"/>
      <c r="O99" s="15">
        <f t="shared" si="3"/>
        <v>0</v>
      </c>
      <c r="P99" s="13">
        <v>5497.72</v>
      </c>
      <c r="Q99" s="131" t="s">
        <v>46</v>
      </c>
    </row>
    <row r="100" spans="1:17" s="45" customFormat="1">
      <c r="A100" s="171"/>
      <c r="B100" s="171"/>
      <c r="C100" s="46" t="s">
        <v>431</v>
      </c>
      <c r="D100" s="17"/>
      <c r="E100" s="17"/>
      <c r="F100" s="11"/>
      <c r="G100" s="14"/>
      <c r="H100" s="14"/>
      <c r="I100" s="11"/>
      <c r="J100" s="11"/>
      <c r="K100" s="11"/>
      <c r="L100" s="15">
        <f>IF(O90&gt;P100,O100,P100)</f>
        <v>28870.51</v>
      </c>
      <c r="M100" s="18"/>
      <c r="N100" s="12"/>
      <c r="O100" s="15"/>
      <c r="P100" s="13">
        <v>28870.51</v>
      </c>
      <c r="Q100" s="131" t="s">
        <v>46</v>
      </c>
    </row>
    <row r="101" spans="1:17" s="45" customFormat="1">
      <c r="A101" s="171"/>
      <c r="B101" s="171"/>
      <c r="C101" s="46" t="s">
        <v>432</v>
      </c>
      <c r="D101" s="17"/>
      <c r="E101" s="17"/>
      <c r="F101" s="11"/>
      <c r="G101" s="14"/>
      <c r="H101" s="14"/>
      <c r="I101" s="11"/>
      <c r="J101" s="11"/>
      <c r="K101" s="11"/>
      <c r="L101" s="15">
        <f>IF(O91&gt;P101,O101,P101)</f>
        <v>15360.74</v>
      </c>
      <c r="M101" s="18"/>
      <c r="N101" s="12"/>
      <c r="O101" s="15"/>
      <c r="P101" s="13">
        <v>15360.74</v>
      </c>
      <c r="Q101" s="131" t="s">
        <v>46</v>
      </c>
    </row>
    <row r="102" spans="1:17" s="45" customFormat="1">
      <c r="A102" s="171"/>
      <c r="B102" s="171"/>
      <c r="C102" s="46" t="s">
        <v>433</v>
      </c>
      <c r="D102" s="17"/>
      <c r="E102" s="17"/>
      <c r="F102" s="11"/>
      <c r="G102" s="14"/>
      <c r="H102" s="14"/>
      <c r="I102" s="11"/>
      <c r="J102" s="11"/>
      <c r="K102" s="11"/>
      <c r="L102" s="15">
        <f>IF(O92&gt;P102,O102,P102)</f>
        <v>448337.29</v>
      </c>
      <c r="M102" s="18"/>
      <c r="N102" s="12"/>
      <c r="O102" s="15"/>
      <c r="P102" s="13">
        <f>2682.98+1928.82+3355.96+7382.4+3500*11+5002*11+5992.7+5002*7+4111.4+5154.5+121758.01+8027.6+17568+600+411.4+3500*3+3599+5026.4+2088+675+600+600+600+505+1257.5+2684+6661.2+2000.8+902.8+4800+2376.56+3199+3133.38+2403.6+4148+89.4+1089.4+3499+3444+3588+28961.58+1000+20305.3+2700+3626+10772.6+1700+2292</f>
        <v>448337.29</v>
      </c>
      <c r="Q102" s="131" t="s">
        <v>43</v>
      </c>
    </row>
    <row r="103" spans="1:17" s="45" customFormat="1">
      <c r="A103" s="171"/>
      <c r="B103" s="171"/>
      <c r="C103" s="46" t="s">
        <v>244</v>
      </c>
      <c r="D103" s="17"/>
      <c r="E103" s="17"/>
      <c r="F103" s="11"/>
      <c r="G103" s="14"/>
      <c r="H103" s="14"/>
      <c r="I103" s="11"/>
      <c r="J103" s="11"/>
      <c r="K103" s="11"/>
      <c r="L103" s="15">
        <f>28782+92046.06+44369.16+56770.64+7499.98</f>
        <v>229467.84</v>
      </c>
      <c r="M103" s="18"/>
      <c r="N103" s="12"/>
      <c r="O103" s="15">
        <f t="shared" si="3"/>
        <v>0</v>
      </c>
      <c r="P103" s="13">
        <f>902.8+3133.38+649+28782+10942.16+2000+4269.3*3+32940+6156+29200+3999.16+20740+6100+5166+8364+31799.5+3690+3619.64+28961.58+6743.48+20305.3+4320*2+12000+5616+22494+9225+3510+63701+2646+3500.02+3999.96</f>
        <v>402333.88000000006</v>
      </c>
      <c r="Q103" s="131" t="s">
        <v>46</v>
      </c>
    </row>
    <row r="104" spans="1:17">
      <c r="A104" s="207" t="s">
        <v>13</v>
      </c>
      <c r="B104" s="177" t="s">
        <v>310</v>
      </c>
      <c r="C104" s="46" t="s">
        <v>297</v>
      </c>
      <c r="D104" s="17"/>
      <c r="E104" s="17"/>
      <c r="F104" s="11"/>
      <c r="G104" s="14"/>
      <c r="H104" s="14"/>
      <c r="I104" s="11"/>
      <c r="J104" s="11"/>
      <c r="K104" s="11"/>
      <c r="L104" s="15">
        <f t="shared" ref="L104:L106" si="5">IF(O104&gt;P104,O104,P104)</f>
        <v>25505.299999999996</v>
      </c>
      <c r="M104" s="18"/>
      <c r="N104" s="12"/>
      <c r="O104" s="15"/>
      <c r="P104" s="13">
        <f>3292.54+3999.6+4000+4196+3392+3392+1901.01+299+869.67+163.48</f>
        <v>25505.299999999996</v>
      </c>
      <c r="Q104" s="131" t="s">
        <v>43</v>
      </c>
    </row>
    <row r="105" spans="1:17">
      <c r="A105" s="179"/>
      <c r="B105" s="177"/>
      <c r="C105" s="46" t="s">
        <v>295</v>
      </c>
      <c r="D105" s="17"/>
      <c r="E105" s="17"/>
      <c r="F105" s="11"/>
      <c r="G105" s="14"/>
      <c r="H105" s="14"/>
      <c r="I105" s="11"/>
      <c r="J105" s="11"/>
      <c r="K105" s="11"/>
      <c r="L105" s="15">
        <f t="shared" si="5"/>
        <v>9598.7999999999993</v>
      </c>
      <c r="M105" s="18"/>
      <c r="N105" s="12"/>
      <c r="O105" s="15"/>
      <c r="P105" s="13">
        <f>6500+3098.8</f>
        <v>9598.7999999999993</v>
      </c>
      <c r="Q105" s="131" t="s">
        <v>43</v>
      </c>
    </row>
    <row r="106" spans="1:17">
      <c r="A106" s="180"/>
      <c r="B106" s="177"/>
      <c r="C106" s="46" t="s">
        <v>298</v>
      </c>
      <c r="D106" s="17"/>
      <c r="E106" s="17"/>
      <c r="F106" s="11"/>
      <c r="G106" s="14"/>
      <c r="H106" s="14"/>
      <c r="I106" s="11"/>
      <c r="J106" s="11"/>
      <c r="K106" s="11"/>
      <c r="L106" s="15">
        <f t="shared" si="5"/>
        <v>1757.4</v>
      </c>
      <c r="M106" s="18"/>
      <c r="N106" s="12"/>
      <c r="O106" s="15"/>
      <c r="P106" s="13">
        <f>1488.4+269</f>
        <v>1757.4</v>
      </c>
      <c r="Q106" s="131" t="s">
        <v>43</v>
      </c>
    </row>
    <row r="107" spans="1:17" s="2" customFormat="1" ht="25.5">
      <c r="A107" s="166" t="s">
        <v>14</v>
      </c>
      <c r="B107" s="167" t="s">
        <v>111</v>
      </c>
      <c r="C107" s="46" t="s">
        <v>112</v>
      </c>
      <c r="D107" s="17"/>
      <c r="E107" s="17"/>
      <c r="F107" s="11"/>
      <c r="G107" s="17"/>
      <c r="H107" s="17"/>
      <c r="I107" s="11"/>
      <c r="J107" s="11"/>
      <c r="K107" s="6"/>
      <c r="L107" s="15">
        <f>IF(O107&gt;P107,O107,P107)</f>
        <v>42341.619999999995</v>
      </c>
      <c r="M107" s="18"/>
      <c r="N107" s="12"/>
      <c r="O107" s="15">
        <f>E107*N107</f>
        <v>0</v>
      </c>
      <c r="P107" s="13">
        <f>28441.62+13900</f>
        <v>42341.619999999995</v>
      </c>
      <c r="Q107" s="86" t="s">
        <v>45</v>
      </c>
    </row>
    <row r="108" spans="1:17" s="45" customFormat="1" ht="18.75" customHeight="1">
      <c r="A108" s="178" t="s">
        <v>15</v>
      </c>
      <c r="B108" s="178" t="s">
        <v>274</v>
      </c>
      <c r="C108" s="46" t="s">
        <v>187</v>
      </c>
      <c r="D108" s="17"/>
      <c r="E108" s="17"/>
      <c r="F108" s="11"/>
      <c r="G108" s="14"/>
      <c r="H108" s="11"/>
      <c r="I108" s="11"/>
      <c r="J108" s="11"/>
      <c r="K108" s="6"/>
      <c r="L108" s="15">
        <f t="shared" ref="L108:L125" si="6">IF(O108&gt;P108,O108,P108)</f>
        <v>196413.69</v>
      </c>
      <c r="M108" s="18" t="s">
        <v>48</v>
      </c>
      <c r="N108" s="12"/>
      <c r="O108" s="15">
        <f t="shared" ref="O108:O119" si="7">N108*E108</f>
        <v>0</v>
      </c>
      <c r="P108" s="83">
        <v>196413.69</v>
      </c>
      <c r="Q108" s="84" t="s">
        <v>44</v>
      </c>
    </row>
    <row r="109" spans="1:17" s="45" customFormat="1" ht="16.5" customHeight="1">
      <c r="A109" s="179"/>
      <c r="B109" s="179"/>
      <c r="C109" s="46" t="s">
        <v>49</v>
      </c>
      <c r="D109" s="17"/>
      <c r="E109" s="17"/>
      <c r="F109" s="11"/>
      <c r="G109" s="14"/>
      <c r="H109" s="11"/>
      <c r="I109" s="11"/>
      <c r="J109" s="11"/>
      <c r="K109" s="6"/>
      <c r="L109" s="15">
        <f t="shared" si="6"/>
        <v>4958</v>
      </c>
      <c r="M109" s="18" t="s">
        <v>48</v>
      </c>
      <c r="N109" s="12"/>
      <c r="O109" s="15"/>
      <c r="P109" s="83">
        <f>4500+458</f>
        <v>4958</v>
      </c>
      <c r="Q109" s="84" t="s">
        <v>45</v>
      </c>
    </row>
    <row r="110" spans="1:17" s="45" customFormat="1" ht="18.75" customHeight="1">
      <c r="A110" s="180"/>
      <c r="B110" s="180"/>
      <c r="C110" s="46" t="s">
        <v>299</v>
      </c>
      <c r="D110" s="17"/>
      <c r="E110" s="17"/>
      <c r="F110" s="11"/>
      <c r="G110" s="14"/>
      <c r="H110" s="11"/>
      <c r="I110" s="11"/>
      <c r="J110" s="11"/>
      <c r="K110" s="6"/>
      <c r="L110" s="15">
        <f t="shared" si="6"/>
        <v>48985.3</v>
      </c>
      <c r="M110" s="18" t="s">
        <v>48</v>
      </c>
      <c r="N110" s="12"/>
      <c r="O110" s="15"/>
      <c r="P110" s="83">
        <f>3684.4+19288.2+10870.2+12559.5+2583</f>
        <v>48985.3</v>
      </c>
      <c r="Q110" s="84" t="s">
        <v>43</v>
      </c>
    </row>
    <row r="111" spans="1:17" s="45" customFormat="1" ht="18.75" customHeight="1">
      <c r="A111" s="179" t="s">
        <v>16</v>
      </c>
      <c r="B111" s="179" t="s">
        <v>276</v>
      </c>
      <c r="C111" s="6" t="s">
        <v>114</v>
      </c>
      <c r="D111" s="17"/>
      <c r="E111" s="17"/>
      <c r="F111" s="11"/>
      <c r="G111" s="14"/>
      <c r="H111" s="11"/>
      <c r="I111" s="11"/>
      <c r="J111" s="11"/>
      <c r="K111" s="6"/>
      <c r="L111" s="15">
        <f t="shared" si="6"/>
        <v>22050</v>
      </c>
      <c r="M111" s="18"/>
      <c r="N111" s="12"/>
      <c r="O111" s="15"/>
      <c r="P111" s="83">
        <v>22050</v>
      </c>
      <c r="Q111" s="84" t="s">
        <v>45</v>
      </c>
    </row>
    <row r="112" spans="1:17" s="2" customFormat="1">
      <c r="A112" s="180"/>
      <c r="B112" s="180"/>
      <c r="C112" s="46" t="s">
        <v>313</v>
      </c>
      <c r="D112" s="71"/>
      <c r="E112" s="71"/>
      <c r="F112" s="72"/>
      <c r="G112" s="73"/>
      <c r="H112" s="72"/>
      <c r="I112" s="72"/>
      <c r="J112" s="72"/>
      <c r="K112" s="77"/>
      <c r="L112" s="74">
        <f t="shared" si="6"/>
        <v>6256.82</v>
      </c>
      <c r="M112" s="75"/>
      <c r="N112" s="76"/>
      <c r="O112" s="74">
        <f t="shared" si="7"/>
        <v>0</v>
      </c>
      <c r="P112" s="13">
        <f>1947.84+1025+2084.98+1199</f>
        <v>6256.82</v>
      </c>
      <c r="Q112" s="86" t="s">
        <v>43</v>
      </c>
    </row>
    <row r="113" spans="1:18" s="2" customFormat="1" ht="26.25" customHeight="1">
      <c r="A113" s="171" t="s">
        <v>17</v>
      </c>
      <c r="B113" s="171" t="s">
        <v>117</v>
      </c>
      <c r="C113" s="56" t="s">
        <v>278</v>
      </c>
      <c r="D113" s="11" t="s">
        <v>279</v>
      </c>
      <c r="E113" s="11">
        <v>1400</v>
      </c>
      <c r="F113" s="11" t="s">
        <v>280</v>
      </c>
      <c r="G113" s="11" t="s">
        <v>53</v>
      </c>
      <c r="H113" s="11" t="s">
        <v>53</v>
      </c>
      <c r="I113" s="11" t="s">
        <v>51</v>
      </c>
      <c r="J113" s="11"/>
      <c r="K113" s="11"/>
      <c r="L113" s="15">
        <f t="shared" si="6"/>
        <v>1200000</v>
      </c>
      <c r="M113" s="18" t="s">
        <v>58</v>
      </c>
      <c r="N113" s="12"/>
      <c r="O113" s="15">
        <f t="shared" si="7"/>
        <v>0</v>
      </c>
      <c r="P113" s="13">
        <v>1200000</v>
      </c>
      <c r="Q113" s="86" t="s">
        <v>44</v>
      </c>
      <c r="R113" s="43"/>
    </row>
    <row r="114" spans="1:18" s="2" customFormat="1" ht="22.5" customHeight="1">
      <c r="A114" s="171"/>
      <c r="B114" s="171"/>
      <c r="C114" s="56" t="s">
        <v>118</v>
      </c>
      <c r="D114" s="11">
        <v>1960</v>
      </c>
      <c r="E114" s="11"/>
      <c r="F114" s="11" t="s">
        <v>280</v>
      </c>
      <c r="G114" s="11" t="s">
        <v>53</v>
      </c>
      <c r="H114" s="11" t="s">
        <v>53</v>
      </c>
      <c r="I114" s="11" t="s">
        <v>51</v>
      </c>
      <c r="J114" s="11"/>
      <c r="K114" s="11"/>
      <c r="L114" s="15">
        <f t="shared" si="6"/>
        <v>4628.9799999999996</v>
      </c>
      <c r="M114" s="18" t="s">
        <v>48</v>
      </c>
      <c r="N114" s="12"/>
      <c r="O114" s="15">
        <f t="shared" si="7"/>
        <v>0</v>
      </c>
      <c r="P114" s="13">
        <v>4628.9799999999996</v>
      </c>
      <c r="Q114" s="86" t="s">
        <v>44</v>
      </c>
    </row>
    <row r="115" spans="1:18" s="2" customFormat="1" ht="30" customHeight="1">
      <c r="A115" s="171"/>
      <c r="B115" s="171"/>
      <c r="C115" s="56" t="s">
        <v>119</v>
      </c>
      <c r="D115" s="11" t="s">
        <v>281</v>
      </c>
      <c r="E115" s="11"/>
      <c r="F115" s="11"/>
      <c r="G115" s="11"/>
      <c r="H115" s="11"/>
      <c r="I115" s="11"/>
      <c r="J115" s="11"/>
      <c r="K115" s="11"/>
      <c r="L115" s="15">
        <f t="shared" si="6"/>
        <v>8000</v>
      </c>
      <c r="M115" s="18" t="s">
        <v>48</v>
      </c>
      <c r="N115" s="12"/>
      <c r="O115" s="15">
        <f t="shared" si="7"/>
        <v>0</v>
      </c>
      <c r="P115" s="13">
        <v>8000</v>
      </c>
      <c r="Q115" s="86" t="s">
        <v>46</v>
      </c>
    </row>
    <row r="116" spans="1:18" s="2" customFormat="1" ht="30" customHeight="1">
      <c r="A116" s="171"/>
      <c r="B116" s="171"/>
      <c r="C116" s="56" t="s">
        <v>288</v>
      </c>
      <c r="D116" s="11"/>
      <c r="E116" s="11"/>
      <c r="F116" s="11"/>
      <c r="G116" s="11"/>
      <c r="H116" s="11"/>
      <c r="I116" s="11"/>
      <c r="J116" s="11"/>
      <c r="K116" s="11"/>
      <c r="L116" s="15">
        <f t="shared" si="6"/>
        <v>10713.3</v>
      </c>
      <c r="M116" s="18" t="s">
        <v>48</v>
      </c>
      <c r="N116" s="12"/>
      <c r="O116" s="15"/>
      <c r="P116" s="13">
        <f>10713.3</f>
        <v>10713.3</v>
      </c>
      <c r="Q116" s="86" t="s">
        <v>46</v>
      </c>
    </row>
    <row r="117" spans="1:18" s="2" customFormat="1" ht="30" customHeight="1">
      <c r="A117" s="171"/>
      <c r="B117" s="171"/>
      <c r="C117" s="56" t="s">
        <v>294</v>
      </c>
      <c r="D117" s="11"/>
      <c r="E117" s="11"/>
      <c r="F117" s="11"/>
      <c r="G117" s="11"/>
      <c r="H117" s="11"/>
      <c r="I117" s="11"/>
      <c r="J117" s="11"/>
      <c r="K117" s="11"/>
      <c r="L117" s="15">
        <f t="shared" si="6"/>
        <v>14522.58</v>
      </c>
      <c r="M117" s="18"/>
      <c r="N117" s="12"/>
      <c r="O117" s="15"/>
      <c r="P117" s="13">
        <f>1557.78+11964.8+1000</f>
        <v>14522.58</v>
      </c>
      <c r="Q117" s="86" t="s">
        <v>43</v>
      </c>
    </row>
    <row r="118" spans="1:18" s="2" customFormat="1" ht="32.25" customHeight="1">
      <c r="A118" s="171"/>
      <c r="B118" s="171"/>
      <c r="C118" s="56" t="s">
        <v>316</v>
      </c>
      <c r="D118" s="11"/>
      <c r="E118" s="11"/>
      <c r="F118" s="11"/>
      <c r="G118" s="11"/>
      <c r="H118" s="11"/>
      <c r="I118" s="11"/>
      <c r="J118" s="11"/>
      <c r="K118" s="11"/>
      <c r="L118" s="15">
        <f t="shared" si="6"/>
        <v>39156.559999999998</v>
      </c>
      <c r="M118" s="18"/>
      <c r="N118" s="12"/>
      <c r="O118" s="15">
        <f t="shared" si="7"/>
        <v>0</v>
      </c>
      <c r="P118" s="13">
        <f>10713.3+8920+4920+11773.51+1200+615+1014.75</f>
        <v>39156.559999999998</v>
      </c>
      <c r="Q118" s="86" t="s">
        <v>45</v>
      </c>
    </row>
    <row r="119" spans="1:18" ht="26.25" customHeight="1">
      <c r="A119" s="171" t="s">
        <v>19</v>
      </c>
      <c r="B119" s="171" t="s">
        <v>282</v>
      </c>
      <c r="C119" s="6" t="s">
        <v>278</v>
      </c>
      <c r="D119" s="88"/>
      <c r="E119" s="17"/>
      <c r="F119" s="11" t="s">
        <v>285</v>
      </c>
      <c r="G119" s="14" t="s">
        <v>319</v>
      </c>
      <c r="H119" s="11"/>
      <c r="I119" s="11"/>
      <c r="J119" s="11"/>
      <c r="K119" s="6"/>
      <c r="L119" s="15">
        <f t="shared" si="6"/>
        <v>1000000</v>
      </c>
      <c r="M119" s="18" t="s">
        <v>58</v>
      </c>
      <c r="N119" s="12"/>
      <c r="O119" s="15">
        <f t="shared" si="7"/>
        <v>0</v>
      </c>
      <c r="P119" s="13">
        <v>1000000</v>
      </c>
      <c r="Q119" s="89" t="s">
        <v>44</v>
      </c>
      <c r="R119" s="90"/>
    </row>
    <row r="120" spans="1:18" ht="26.25" customHeight="1">
      <c r="A120" s="171"/>
      <c r="B120" s="171"/>
      <c r="C120" s="6" t="s">
        <v>320</v>
      </c>
      <c r="D120" s="88">
        <v>1952</v>
      </c>
      <c r="E120" s="17"/>
      <c r="F120" s="11" t="s">
        <v>314</v>
      </c>
      <c r="G120" s="14"/>
      <c r="H120" s="11"/>
      <c r="I120" s="11"/>
      <c r="J120" s="11"/>
      <c r="K120" s="6"/>
      <c r="L120" s="15">
        <f t="shared" si="6"/>
        <v>2583.6799999999998</v>
      </c>
      <c r="M120" s="18" t="s">
        <v>48</v>
      </c>
      <c r="N120" s="12"/>
      <c r="O120" s="15"/>
      <c r="P120" s="13">
        <v>2583.6799999999998</v>
      </c>
      <c r="Q120" s="89" t="s">
        <v>44</v>
      </c>
      <c r="R120" s="90"/>
    </row>
    <row r="121" spans="1:18" ht="26.25" customHeight="1">
      <c r="A121" s="171"/>
      <c r="B121" s="171"/>
      <c r="C121" s="46" t="s">
        <v>122</v>
      </c>
      <c r="D121" s="88">
        <v>1995</v>
      </c>
      <c r="E121" s="17"/>
      <c r="F121" s="11" t="s">
        <v>315</v>
      </c>
      <c r="G121" s="14"/>
      <c r="H121" s="11"/>
      <c r="I121" s="11"/>
      <c r="J121" s="11"/>
      <c r="K121" s="6"/>
      <c r="L121" s="15">
        <f t="shared" si="6"/>
        <v>4791.0200000000004</v>
      </c>
      <c r="M121" s="18" t="s">
        <v>48</v>
      </c>
      <c r="N121" s="12"/>
      <c r="O121" s="15"/>
      <c r="P121" s="13">
        <v>4791.0200000000004</v>
      </c>
      <c r="Q121" s="89" t="s">
        <v>46</v>
      </c>
      <c r="R121" s="90"/>
    </row>
    <row r="122" spans="1:18" ht="26.25" customHeight="1">
      <c r="A122" s="171"/>
      <c r="B122" s="171"/>
      <c r="C122" s="46" t="s">
        <v>128</v>
      </c>
      <c r="D122" s="88"/>
      <c r="E122" s="17"/>
      <c r="F122" s="11"/>
      <c r="G122" s="14"/>
      <c r="H122" s="11"/>
      <c r="I122" s="11"/>
      <c r="J122" s="11"/>
      <c r="K122" s="6"/>
      <c r="L122" s="15">
        <f t="shared" si="6"/>
        <v>19155.310000000001</v>
      </c>
      <c r="M122" s="18" t="s">
        <v>48</v>
      </c>
      <c r="N122" s="12"/>
      <c r="O122" s="15"/>
      <c r="P122" s="13">
        <v>19155.310000000001</v>
      </c>
      <c r="Q122" s="89" t="s">
        <v>46</v>
      </c>
      <c r="R122" s="90"/>
    </row>
    <row r="123" spans="1:18" ht="26.25" customHeight="1">
      <c r="A123" s="171"/>
      <c r="B123" s="171"/>
      <c r="C123" s="46" t="s">
        <v>296</v>
      </c>
      <c r="D123" s="88"/>
      <c r="E123" s="17"/>
      <c r="F123" s="11"/>
      <c r="G123" s="14"/>
      <c r="H123" s="11"/>
      <c r="I123" s="11"/>
      <c r="J123" s="11"/>
      <c r="K123" s="6"/>
      <c r="L123" s="15">
        <f t="shared" si="6"/>
        <v>13662.96</v>
      </c>
      <c r="M123" s="18"/>
      <c r="N123" s="12"/>
      <c r="O123" s="15"/>
      <c r="P123" s="13">
        <f>13662.96</f>
        <v>13662.96</v>
      </c>
      <c r="Q123" s="89" t="s">
        <v>43</v>
      </c>
      <c r="R123" s="90"/>
    </row>
    <row r="124" spans="1:18">
      <c r="A124" s="171"/>
      <c r="B124" s="171"/>
      <c r="C124" s="6" t="s">
        <v>316</v>
      </c>
      <c r="D124" s="88"/>
      <c r="E124" s="17"/>
      <c r="F124" s="11"/>
      <c r="G124" s="14"/>
      <c r="H124" s="11"/>
      <c r="I124" s="11"/>
      <c r="J124" s="11"/>
      <c r="K124" s="6"/>
      <c r="L124" s="15">
        <f t="shared" si="6"/>
        <v>16861</v>
      </c>
      <c r="M124" s="18"/>
      <c r="N124" s="12"/>
      <c r="O124" s="15">
        <f>N124*E124</f>
        <v>0</v>
      </c>
      <c r="P124" s="13">
        <f>10961+2500+3400</f>
        <v>16861</v>
      </c>
      <c r="Q124" s="89" t="s">
        <v>45</v>
      </c>
      <c r="R124" s="45"/>
    </row>
    <row r="125" spans="1:18" ht="39">
      <c r="A125" s="171" t="s">
        <v>20</v>
      </c>
      <c r="B125" s="171" t="s">
        <v>121</v>
      </c>
      <c r="C125" s="6" t="s">
        <v>123</v>
      </c>
      <c r="D125" s="17" t="s">
        <v>284</v>
      </c>
      <c r="E125" s="17"/>
      <c r="F125" s="11" t="s">
        <v>285</v>
      </c>
      <c r="G125" s="14" t="s">
        <v>286</v>
      </c>
      <c r="H125" s="68" t="s">
        <v>18</v>
      </c>
      <c r="I125" s="11" t="s">
        <v>51</v>
      </c>
      <c r="J125" s="11"/>
      <c r="K125" s="6"/>
      <c r="L125" s="15">
        <f t="shared" si="6"/>
        <v>1360877.48</v>
      </c>
      <c r="M125" s="18" t="s">
        <v>48</v>
      </c>
      <c r="N125" s="12"/>
      <c r="O125" s="15">
        <f>N125*E125</f>
        <v>0</v>
      </c>
      <c r="P125" s="13">
        <v>1360877.48</v>
      </c>
      <c r="Q125" s="93" t="s">
        <v>44</v>
      </c>
      <c r="R125" s="45"/>
    </row>
    <row r="126" spans="1:18">
      <c r="A126" s="171"/>
      <c r="B126" s="171"/>
      <c r="C126" s="6" t="s">
        <v>287</v>
      </c>
      <c r="D126" s="17">
        <v>1956</v>
      </c>
      <c r="E126" s="17"/>
      <c r="F126" s="11"/>
      <c r="G126" s="14"/>
      <c r="H126" s="68"/>
      <c r="I126" s="11"/>
      <c r="J126" s="11"/>
      <c r="K126" s="6"/>
      <c r="L126" s="15">
        <f t="shared" ref="L126:L127" si="8">IF(O126&gt;P126,O126,P126)</f>
        <v>290.27999999999997</v>
      </c>
      <c r="M126" s="18" t="s">
        <v>48</v>
      </c>
      <c r="N126" s="12"/>
      <c r="O126" s="15"/>
      <c r="P126" s="13">
        <v>290.27999999999997</v>
      </c>
      <c r="Q126" s="93" t="s">
        <v>44</v>
      </c>
      <c r="R126" s="45"/>
    </row>
    <row r="127" spans="1:18">
      <c r="A127" s="171"/>
      <c r="B127" s="171"/>
      <c r="C127" s="6" t="s">
        <v>288</v>
      </c>
      <c r="D127" s="17">
        <v>2015</v>
      </c>
      <c r="E127" s="17"/>
      <c r="F127" s="11"/>
      <c r="G127" s="14"/>
      <c r="H127" s="68"/>
      <c r="I127" s="11"/>
      <c r="J127" s="11"/>
      <c r="K127" s="6"/>
      <c r="L127" s="15">
        <f t="shared" si="8"/>
        <v>13644.53</v>
      </c>
      <c r="M127" s="18"/>
      <c r="N127" s="12"/>
      <c r="O127" s="15"/>
      <c r="P127" s="13">
        <v>13644.53</v>
      </c>
      <c r="Q127" s="93" t="s">
        <v>46</v>
      </c>
      <c r="R127" s="45"/>
    </row>
    <row r="128" spans="1:18">
      <c r="A128" s="171"/>
      <c r="B128" s="171"/>
      <c r="C128" s="6" t="s">
        <v>124</v>
      </c>
      <c r="D128" s="17"/>
      <c r="E128" s="17"/>
      <c r="F128" s="11"/>
      <c r="G128" s="14"/>
      <c r="H128" s="68"/>
      <c r="I128" s="11"/>
      <c r="J128" s="11"/>
      <c r="K128" s="6"/>
      <c r="L128" s="15">
        <f>IF(O128&gt;P128,O128,P128)</f>
        <v>5137.3500000000004</v>
      </c>
      <c r="M128" s="18"/>
      <c r="N128" s="12"/>
      <c r="O128" s="15">
        <f>N128*E128</f>
        <v>0</v>
      </c>
      <c r="P128" s="13">
        <v>5137.3500000000004</v>
      </c>
      <c r="Q128" s="93" t="s">
        <v>46</v>
      </c>
      <c r="R128" s="45"/>
    </row>
    <row r="129" spans="1:18">
      <c r="A129" s="171"/>
      <c r="B129" s="171"/>
      <c r="C129" s="6" t="s">
        <v>313</v>
      </c>
      <c r="D129" s="17"/>
      <c r="E129" s="17"/>
      <c r="F129" s="11"/>
      <c r="G129" s="14"/>
      <c r="H129" s="68"/>
      <c r="I129" s="11"/>
      <c r="J129" s="11"/>
      <c r="K129" s="6"/>
      <c r="L129" s="15">
        <f>IF(O129&gt;P129,O129,P129)</f>
        <v>50878.54</v>
      </c>
      <c r="M129" s="18"/>
      <c r="N129" s="12"/>
      <c r="O129" s="15"/>
      <c r="P129" s="13">
        <f>21863.15+3434.99+4294.4+21286</f>
        <v>50878.54</v>
      </c>
      <c r="Q129" s="93" t="s">
        <v>43</v>
      </c>
      <c r="R129" s="45"/>
    </row>
    <row r="130" spans="1:18">
      <c r="A130" s="171"/>
      <c r="B130" s="171"/>
      <c r="C130" s="6" t="s">
        <v>328</v>
      </c>
      <c r="D130" s="17"/>
      <c r="E130" s="17"/>
      <c r="F130" s="11"/>
      <c r="G130" s="14"/>
      <c r="H130" s="68"/>
      <c r="I130" s="11"/>
      <c r="J130" s="11"/>
      <c r="K130" s="6"/>
      <c r="L130" s="15">
        <f>IF(O130&gt;P130,O130,P130)</f>
        <v>24397.85</v>
      </c>
      <c r="M130" s="18"/>
      <c r="N130" s="12"/>
      <c r="O130" s="15">
        <f>N130*E130</f>
        <v>0</v>
      </c>
      <c r="P130" s="13">
        <f>4920+2706+4920+11851.85</f>
        <v>24397.85</v>
      </c>
      <c r="Q130" s="93" t="s">
        <v>45</v>
      </c>
      <c r="R130" s="45"/>
    </row>
    <row r="131" spans="1:18">
      <c r="A131" s="176"/>
      <c r="B131" s="171" t="s">
        <v>292</v>
      </c>
      <c r="C131" s="156" t="s">
        <v>125</v>
      </c>
      <c r="D131" s="128">
        <v>1971</v>
      </c>
      <c r="E131" s="157">
        <v>800</v>
      </c>
      <c r="F131" s="128"/>
      <c r="G131" s="158"/>
      <c r="H131" s="158"/>
      <c r="I131" s="128"/>
      <c r="J131" s="128"/>
      <c r="K131" s="128"/>
      <c r="L131" s="159">
        <f t="shared" ref="L131:L137" si="9">IF(O131&gt;P131,O131,P131)</f>
        <v>1000000</v>
      </c>
      <c r="M131" s="160" t="s">
        <v>58</v>
      </c>
      <c r="N131" s="161"/>
      <c r="O131" s="159">
        <f t="shared" ref="O131:O137" si="10">N131*E131</f>
        <v>0</v>
      </c>
      <c r="P131" s="162">
        <v>1000000</v>
      </c>
      <c r="Q131" s="93" t="s">
        <v>44</v>
      </c>
      <c r="R131" s="45"/>
    </row>
    <row r="132" spans="1:18">
      <c r="A132" s="176"/>
      <c r="B132" s="171"/>
      <c r="C132" s="156" t="s">
        <v>126</v>
      </c>
      <c r="D132" s="128">
        <v>1938</v>
      </c>
      <c r="E132" s="157">
        <v>100</v>
      </c>
      <c r="F132" s="128"/>
      <c r="G132" s="158"/>
      <c r="H132" s="158"/>
      <c r="I132" s="128"/>
      <c r="J132" s="128"/>
      <c r="K132" s="128"/>
      <c r="L132" s="159">
        <f t="shared" si="9"/>
        <v>101321.37</v>
      </c>
      <c r="M132" s="160" t="s">
        <v>48</v>
      </c>
      <c r="N132" s="161"/>
      <c r="O132" s="159">
        <f t="shared" si="10"/>
        <v>0</v>
      </c>
      <c r="P132" s="162">
        <v>101321.37</v>
      </c>
      <c r="Q132" s="93" t="s">
        <v>44</v>
      </c>
      <c r="R132" s="45"/>
    </row>
    <row r="133" spans="1:18">
      <c r="A133" s="176"/>
      <c r="B133" s="171"/>
      <c r="C133" s="156" t="s">
        <v>127</v>
      </c>
      <c r="D133" s="128">
        <v>1971</v>
      </c>
      <c r="E133" s="157"/>
      <c r="F133" s="128"/>
      <c r="G133" s="158"/>
      <c r="H133" s="158"/>
      <c r="I133" s="128"/>
      <c r="J133" s="128"/>
      <c r="K133" s="128"/>
      <c r="L133" s="159">
        <f t="shared" si="9"/>
        <v>2983.57</v>
      </c>
      <c r="M133" s="160" t="s">
        <v>48</v>
      </c>
      <c r="N133" s="161"/>
      <c r="O133" s="159">
        <f t="shared" si="10"/>
        <v>0</v>
      </c>
      <c r="P133" s="162">
        <v>2983.57</v>
      </c>
      <c r="Q133" s="93" t="s">
        <v>46</v>
      </c>
      <c r="R133" s="45"/>
    </row>
    <row r="134" spans="1:18">
      <c r="A134" s="176"/>
      <c r="B134" s="171"/>
      <c r="C134" s="156" t="s">
        <v>128</v>
      </c>
      <c r="D134" s="128">
        <v>2014</v>
      </c>
      <c r="E134" s="157"/>
      <c r="F134" s="128"/>
      <c r="G134" s="158"/>
      <c r="H134" s="158"/>
      <c r="I134" s="128"/>
      <c r="J134" s="128"/>
      <c r="K134" s="128"/>
      <c r="L134" s="159">
        <f t="shared" si="9"/>
        <v>23169</v>
      </c>
      <c r="M134" s="160" t="s">
        <v>48</v>
      </c>
      <c r="N134" s="161"/>
      <c r="O134" s="159">
        <f t="shared" si="10"/>
        <v>0</v>
      </c>
      <c r="P134" s="162">
        <v>23169</v>
      </c>
      <c r="Q134" s="93" t="s">
        <v>46</v>
      </c>
      <c r="R134" s="45"/>
    </row>
    <row r="135" spans="1:18">
      <c r="A135" s="176"/>
      <c r="B135" s="171"/>
      <c r="C135" s="156" t="s">
        <v>132</v>
      </c>
      <c r="D135" s="128">
        <v>1971</v>
      </c>
      <c r="E135" s="157"/>
      <c r="F135" s="128"/>
      <c r="G135" s="158"/>
      <c r="H135" s="158"/>
      <c r="I135" s="128"/>
      <c r="J135" s="128"/>
      <c r="K135" s="128"/>
      <c r="L135" s="159">
        <f t="shared" si="9"/>
        <v>21412.93</v>
      </c>
      <c r="M135" s="160" t="s">
        <v>48</v>
      </c>
      <c r="N135" s="161"/>
      <c r="O135" s="159">
        <f t="shared" si="10"/>
        <v>0</v>
      </c>
      <c r="P135" s="162">
        <v>21412.93</v>
      </c>
      <c r="Q135" s="93" t="s">
        <v>46</v>
      </c>
      <c r="R135" s="45"/>
    </row>
    <row r="136" spans="1:18">
      <c r="A136" s="176"/>
      <c r="B136" s="171"/>
      <c r="C136" s="156" t="s">
        <v>133</v>
      </c>
      <c r="D136" s="128">
        <v>1971</v>
      </c>
      <c r="E136" s="157"/>
      <c r="F136" s="128"/>
      <c r="G136" s="158"/>
      <c r="H136" s="158"/>
      <c r="I136" s="128"/>
      <c r="J136" s="128"/>
      <c r="K136" s="128"/>
      <c r="L136" s="159">
        <f t="shared" si="9"/>
        <v>7803.05</v>
      </c>
      <c r="M136" s="160" t="s">
        <v>48</v>
      </c>
      <c r="N136" s="161"/>
      <c r="O136" s="159">
        <f t="shared" si="10"/>
        <v>0</v>
      </c>
      <c r="P136" s="162">
        <v>7803.05</v>
      </c>
      <c r="Q136" s="93" t="s">
        <v>46</v>
      </c>
      <c r="R136" s="45"/>
    </row>
    <row r="137" spans="1:18">
      <c r="A137" s="176"/>
      <c r="B137" s="171"/>
      <c r="C137" s="156" t="s">
        <v>114</v>
      </c>
      <c r="D137" s="128"/>
      <c r="E137" s="157"/>
      <c r="F137" s="128"/>
      <c r="G137" s="158"/>
      <c r="H137" s="158"/>
      <c r="I137" s="128"/>
      <c r="J137" s="128"/>
      <c r="K137" s="128"/>
      <c r="L137" s="159">
        <f t="shared" si="9"/>
        <v>4659.18</v>
      </c>
      <c r="M137" s="160"/>
      <c r="N137" s="161"/>
      <c r="O137" s="159">
        <f t="shared" si="10"/>
        <v>0</v>
      </c>
      <c r="P137" s="162">
        <v>4659.18</v>
      </c>
      <c r="Q137" s="93" t="s">
        <v>45</v>
      </c>
      <c r="R137" s="45"/>
    </row>
    <row r="138" spans="1:18" ht="39">
      <c r="A138" s="176" t="s">
        <v>22</v>
      </c>
      <c r="B138" s="177" t="s">
        <v>130</v>
      </c>
      <c r="C138" s="56" t="s">
        <v>300</v>
      </c>
      <c r="D138" s="17">
        <v>1986</v>
      </c>
      <c r="E138" s="17">
        <v>1284</v>
      </c>
      <c r="F138" s="11" t="s">
        <v>53</v>
      </c>
      <c r="G138" s="14" t="s">
        <v>53</v>
      </c>
      <c r="H138" s="14" t="s">
        <v>335</v>
      </c>
      <c r="I138" s="11" t="s">
        <v>334</v>
      </c>
      <c r="J138" s="11" t="s">
        <v>50</v>
      </c>
      <c r="K138" s="6"/>
      <c r="L138" s="15">
        <f t="shared" ref="L138:L146" si="11">IF(O138&gt;P138,O138,P138)</f>
        <v>1644091.91</v>
      </c>
      <c r="M138" s="18" t="s">
        <v>48</v>
      </c>
      <c r="N138" s="12"/>
      <c r="O138" s="15">
        <f>N138*E138</f>
        <v>0</v>
      </c>
      <c r="P138" s="13">
        <v>1644091.91</v>
      </c>
      <c r="Q138" s="93" t="s">
        <v>44</v>
      </c>
      <c r="R138" s="45"/>
    </row>
    <row r="139" spans="1:18" s="2" customFormat="1" ht="26.25">
      <c r="A139" s="176"/>
      <c r="B139" s="177"/>
      <c r="C139" s="56" t="s">
        <v>301</v>
      </c>
      <c r="D139" s="17"/>
      <c r="E139" s="17"/>
      <c r="F139" s="11" t="s">
        <v>303</v>
      </c>
      <c r="G139" s="14" t="s">
        <v>304</v>
      </c>
      <c r="H139" s="14" t="s">
        <v>305</v>
      </c>
      <c r="I139" s="11" t="s">
        <v>51</v>
      </c>
      <c r="J139" s="11" t="s">
        <v>50</v>
      </c>
      <c r="K139" s="6"/>
      <c r="L139" s="15">
        <f t="shared" si="11"/>
        <v>1046737.88</v>
      </c>
      <c r="M139" s="18" t="s">
        <v>48</v>
      </c>
      <c r="N139" s="12"/>
      <c r="O139" s="15">
        <f t="shared" ref="O139:O146" si="12">N139*E139</f>
        <v>0</v>
      </c>
      <c r="P139" s="13">
        <v>1046737.88</v>
      </c>
      <c r="Q139" s="86" t="s">
        <v>44</v>
      </c>
    </row>
    <row r="140" spans="1:18" s="2" customFormat="1">
      <c r="A140" s="176"/>
      <c r="B140" s="177"/>
      <c r="C140" s="56" t="s">
        <v>126</v>
      </c>
      <c r="D140" s="17"/>
      <c r="E140" s="17"/>
      <c r="F140" s="11" t="s">
        <v>306</v>
      </c>
      <c r="G140" s="14" t="s">
        <v>194</v>
      </c>
      <c r="H140" s="14" t="s">
        <v>305</v>
      </c>
      <c r="I140" s="11" t="s">
        <v>51</v>
      </c>
      <c r="J140" s="11"/>
      <c r="K140" s="6"/>
      <c r="L140" s="15">
        <f t="shared" si="11"/>
        <v>300000</v>
      </c>
      <c r="M140" s="18" t="s">
        <v>58</v>
      </c>
      <c r="N140" s="12"/>
      <c r="O140" s="15">
        <f t="shared" si="12"/>
        <v>0</v>
      </c>
      <c r="P140" s="13">
        <v>300000</v>
      </c>
      <c r="Q140" s="86" t="s">
        <v>44</v>
      </c>
      <c r="R140" s="43"/>
    </row>
    <row r="141" spans="1:18" s="2" customFormat="1">
      <c r="A141" s="176"/>
      <c r="B141" s="177"/>
      <c r="C141" s="56" t="s">
        <v>302</v>
      </c>
      <c r="D141" s="17">
        <v>2015</v>
      </c>
      <c r="E141" s="17"/>
      <c r="F141" s="11"/>
      <c r="G141" s="14"/>
      <c r="H141" s="14"/>
      <c r="I141" s="11"/>
      <c r="J141" s="11"/>
      <c r="K141" s="6"/>
      <c r="L141" s="15">
        <f t="shared" si="11"/>
        <v>8241</v>
      </c>
      <c r="M141" s="18"/>
      <c r="N141" s="12"/>
      <c r="O141" s="15"/>
      <c r="P141" s="13">
        <v>8241</v>
      </c>
      <c r="Q141" s="86" t="s">
        <v>46</v>
      </c>
    </row>
    <row r="142" spans="1:18" s="2" customFormat="1">
      <c r="A142" s="176"/>
      <c r="B142" s="177"/>
      <c r="C142" s="6" t="s">
        <v>188</v>
      </c>
      <c r="D142" s="17"/>
      <c r="E142" s="17"/>
      <c r="F142" s="11"/>
      <c r="G142" s="14"/>
      <c r="H142" s="14"/>
      <c r="I142" s="11"/>
      <c r="J142" s="11"/>
      <c r="K142" s="6"/>
      <c r="L142" s="15">
        <f t="shared" si="11"/>
        <v>42344.59</v>
      </c>
      <c r="M142" s="18"/>
      <c r="N142" s="12"/>
      <c r="O142" s="15">
        <f t="shared" si="12"/>
        <v>0</v>
      </c>
      <c r="P142" s="13">
        <f>37544.6+4799.99</f>
        <v>42344.59</v>
      </c>
      <c r="Q142" s="86" t="s">
        <v>46</v>
      </c>
    </row>
    <row r="143" spans="1:18" s="2" customFormat="1">
      <c r="A143" s="176"/>
      <c r="B143" s="177"/>
      <c r="C143" s="6" t="s">
        <v>309</v>
      </c>
      <c r="D143" s="17"/>
      <c r="E143" s="17"/>
      <c r="F143" s="11"/>
      <c r="G143" s="14"/>
      <c r="H143" s="14"/>
      <c r="I143" s="11"/>
      <c r="J143" s="11"/>
      <c r="K143" s="6"/>
      <c r="L143" s="15">
        <f t="shared" si="11"/>
        <v>11622.63</v>
      </c>
      <c r="M143" s="18"/>
      <c r="N143" s="12"/>
      <c r="O143" s="15"/>
      <c r="P143" s="13">
        <v>11622.63</v>
      </c>
      <c r="Q143" s="86" t="s">
        <v>45</v>
      </c>
    </row>
    <row r="144" spans="1:18" s="2" customFormat="1">
      <c r="A144" s="176"/>
      <c r="B144" s="177"/>
      <c r="C144" s="6" t="s">
        <v>131</v>
      </c>
      <c r="D144" s="17"/>
      <c r="E144" s="17"/>
      <c r="F144" s="11"/>
      <c r="G144" s="14"/>
      <c r="H144" s="14"/>
      <c r="I144" s="11"/>
      <c r="J144" s="11"/>
      <c r="K144" s="6"/>
      <c r="L144" s="15">
        <v>3000</v>
      </c>
      <c r="M144" s="18" t="s">
        <v>58</v>
      </c>
      <c r="N144" s="12"/>
      <c r="O144" s="15"/>
      <c r="P144" s="13">
        <v>1000</v>
      </c>
      <c r="Q144" s="86" t="s">
        <v>45</v>
      </c>
    </row>
    <row r="145" spans="1:17" s="2" customFormat="1">
      <c r="A145" s="176"/>
      <c r="B145" s="177"/>
      <c r="C145" s="6" t="s">
        <v>336</v>
      </c>
      <c r="D145" s="17"/>
      <c r="E145" s="17"/>
      <c r="F145" s="11"/>
      <c r="G145" s="14"/>
      <c r="H145" s="14"/>
      <c r="I145" s="11"/>
      <c r="J145" s="11"/>
      <c r="K145" s="6"/>
      <c r="L145" s="15">
        <f t="shared" si="11"/>
        <v>113255.30000000002</v>
      </c>
      <c r="M145" s="18"/>
      <c r="N145" s="12"/>
      <c r="O145" s="15"/>
      <c r="P145" s="13">
        <f>15500+1450+36975.32+1400+16266.4+1540+1994+2472.3+700+802.51+199+220+669+650+3477+398+208+1898+1999.58+1650+1846.99+1730.61+1321.08+3702.91+1900+2410+1850+2119.99+1675+1730.61+2499</f>
        <v>113255.30000000002</v>
      </c>
      <c r="Q145" s="86" t="s">
        <v>43</v>
      </c>
    </row>
    <row r="146" spans="1:17" s="2" customFormat="1">
      <c r="A146" s="176"/>
      <c r="B146" s="177"/>
      <c r="C146" s="6" t="s">
        <v>337</v>
      </c>
      <c r="D146" s="17"/>
      <c r="E146" s="17"/>
      <c r="F146" s="11"/>
      <c r="G146" s="14"/>
      <c r="H146" s="14"/>
      <c r="I146" s="11"/>
      <c r="J146" s="11"/>
      <c r="K146" s="6"/>
      <c r="L146" s="15">
        <f t="shared" si="11"/>
        <v>51234.25</v>
      </c>
      <c r="M146" s="18"/>
      <c r="N146" s="12"/>
      <c r="O146" s="15">
        <f t="shared" si="12"/>
        <v>0</v>
      </c>
      <c r="P146" s="13">
        <f>34151.25+6950+341+1190+2706+2706+1590+1600</f>
        <v>51234.25</v>
      </c>
      <c r="Q146" s="86" t="s">
        <v>45</v>
      </c>
    </row>
    <row r="147" spans="1:17">
      <c r="J147" s="44" t="e">
        <f>#REF!*3/4.1749</f>
        <v>#REF!</v>
      </c>
    </row>
  </sheetData>
  <mergeCells count="30">
    <mergeCell ref="B108:B110"/>
    <mergeCell ref="A108:A110"/>
    <mergeCell ref="B111:B112"/>
    <mergeCell ref="A111:A112"/>
    <mergeCell ref="A113:A118"/>
    <mergeCell ref="B113:B118"/>
    <mergeCell ref="A125:A130"/>
    <mergeCell ref="A138:A146"/>
    <mergeCell ref="A119:A124"/>
    <mergeCell ref="B119:B124"/>
    <mergeCell ref="B125:B130"/>
    <mergeCell ref="B131:B137"/>
    <mergeCell ref="B138:B146"/>
    <mergeCell ref="A131:A137"/>
    <mergeCell ref="A1:A2"/>
    <mergeCell ref="A3:A103"/>
    <mergeCell ref="B104:B106"/>
    <mergeCell ref="P1:P2"/>
    <mergeCell ref="O1:O2"/>
    <mergeCell ref="N1:N2"/>
    <mergeCell ref="B1:B2"/>
    <mergeCell ref="B3:B103"/>
    <mergeCell ref="J1:J2"/>
    <mergeCell ref="L1:L2"/>
    <mergeCell ref="K1:K2"/>
    <mergeCell ref="F1:I1"/>
    <mergeCell ref="E1:E2"/>
    <mergeCell ref="C1:C2"/>
    <mergeCell ref="D1:D2"/>
    <mergeCell ref="A104:A106"/>
  </mergeCells>
  <phoneticPr fontId="2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58" workbookViewId="0">
      <selection activeCell="C73" sqref="C73"/>
    </sheetView>
  </sheetViews>
  <sheetFormatPr defaultRowHeight="12.75"/>
  <cols>
    <col min="1" max="1" width="3.85546875" style="79" bestFit="1" customWidth="1"/>
    <col min="2" max="2" width="17.7109375" style="79" customWidth="1"/>
    <col min="3" max="3" width="20.42578125" style="79" customWidth="1"/>
    <col min="4" max="4" width="42.5703125" style="81" customWidth="1"/>
    <col min="5" max="5" width="13.42578125" style="78" bestFit="1" customWidth="1"/>
    <col min="6" max="6" width="13.42578125" style="79" bestFit="1" customWidth="1"/>
    <col min="7" max="7" width="12.5703125" style="79" bestFit="1" customWidth="1"/>
    <col min="8" max="16384" width="9.140625" style="79"/>
  </cols>
  <sheetData>
    <row r="1" spans="1:5" ht="15" customHeight="1">
      <c r="A1" s="26" t="s">
        <v>110</v>
      </c>
      <c r="B1" s="27"/>
      <c r="C1" s="27"/>
      <c r="D1" s="30"/>
      <c r="E1" s="85"/>
    </row>
    <row r="2" spans="1:5">
      <c r="A2" s="152" t="s">
        <v>28</v>
      </c>
      <c r="B2" s="192" t="s">
        <v>29</v>
      </c>
      <c r="C2" s="192"/>
      <c r="D2" s="31" t="s">
        <v>27</v>
      </c>
      <c r="E2" s="85"/>
    </row>
    <row r="3" spans="1:5">
      <c r="A3" s="8" t="s">
        <v>12</v>
      </c>
      <c r="B3" s="191" t="s">
        <v>30</v>
      </c>
      <c r="C3" s="191"/>
      <c r="D3" s="164">
        <f>600*2+2084.85+990+6049.14+38137.7+37453.5</f>
        <v>85915.19</v>
      </c>
      <c r="E3" s="85" t="s">
        <v>43</v>
      </c>
    </row>
    <row r="4" spans="1:5">
      <c r="A4" s="8" t="s">
        <v>13</v>
      </c>
      <c r="B4" s="191" t="s">
        <v>32</v>
      </c>
      <c r="C4" s="191"/>
      <c r="D4" s="164">
        <f>11399.64+3444</f>
        <v>14843.64</v>
      </c>
      <c r="E4" s="85" t="s">
        <v>43</v>
      </c>
    </row>
    <row r="5" spans="1:5">
      <c r="A5" s="8" t="s">
        <v>14</v>
      </c>
      <c r="B5" s="191" t="s">
        <v>33</v>
      </c>
      <c r="C5" s="191"/>
      <c r="D5" s="164">
        <v>539.99</v>
      </c>
      <c r="E5" s="85" t="s">
        <v>43</v>
      </c>
    </row>
    <row r="6" spans="1:5" ht="15" customHeight="1">
      <c r="A6" s="8" t="s">
        <v>15</v>
      </c>
      <c r="B6" s="184" t="s">
        <v>444</v>
      </c>
      <c r="C6" s="185"/>
      <c r="D6" s="165">
        <v>102286.8</v>
      </c>
      <c r="E6" s="85" t="s">
        <v>43</v>
      </c>
    </row>
    <row r="7" spans="1:5">
      <c r="A7" s="8" t="s">
        <v>17</v>
      </c>
      <c r="B7" s="191" t="s">
        <v>31</v>
      </c>
      <c r="C7" s="191"/>
      <c r="D7" s="164">
        <f>2396.04+7725+4659+7298.42</f>
        <v>22078.46</v>
      </c>
      <c r="E7" s="85" t="s">
        <v>42</v>
      </c>
    </row>
    <row r="8" spans="1:5" s="19" customFormat="1" ht="15" customHeight="1">
      <c r="A8" s="26" t="s">
        <v>311</v>
      </c>
      <c r="B8" s="27"/>
      <c r="C8" s="27"/>
      <c r="D8" s="30"/>
      <c r="E8" s="85"/>
    </row>
    <row r="9" spans="1:5" s="19" customFormat="1">
      <c r="A9" s="168" t="s">
        <v>28</v>
      </c>
      <c r="B9" s="192" t="s">
        <v>29</v>
      </c>
      <c r="C9" s="192"/>
      <c r="D9" s="31" t="s">
        <v>27</v>
      </c>
      <c r="E9" s="85"/>
    </row>
    <row r="10" spans="1:5" s="19" customFormat="1">
      <c r="A10" s="8" t="s">
        <v>12</v>
      </c>
      <c r="B10" s="191" t="s">
        <v>30</v>
      </c>
      <c r="C10" s="191"/>
      <c r="D10" s="164">
        <f>4000+2343+450+275+3071.01+2731.83+1849+2572.6+2594.4+445.49+195.57</f>
        <v>20527.900000000001</v>
      </c>
      <c r="E10" s="85" t="s">
        <v>43</v>
      </c>
    </row>
    <row r="11" spans="1:5" s="19" customFormat="1">
      <c r="A11" s="8" t="s">
        <v>13</v>
      </c>
      <c r="B11" s="194" t="s">
        <v>32</v>
      </c>
      <c r="C11" s="195"/>
      <c r="D11" s="164">
        <v>1451.4</v>
      </c>
      <c r="E11" s="85" t="s">
        <v>43</v>
      </c>
    </row>
    <row r="12" spans="1:5" s="19" customFormat="1">
      <c r="A12" s="208"/>
      <c r="B12" s="209"/>
      <c r="C12" s="209"/>
      <c r="D12" s="210">
        <f>349.01+1353+467.4</f>
        <v>2169.41</v>
      </c>
      <c r="E12" s="85" t="s">
        <v>43</v>
      </c>
    </row>
    <row r="13" spans="1:5" s="19" customFormat="1" ht="15" customHeight="1">
      <c r="A13" s="26" t="s">
        <v>111</v>
      </c>
      <c r="B13" s="27"/>
      <c r="C13" s="27"/>
      <c r="D13" s="30"/>
      <c r="E13" s="85"/>
    </row>
    <row r="14" spans="1:5" s="19" customFormat="1">
      <c r="A14" s="168" t="s">
        <v>28</v>
      </c>
      <c r="B14" s="192" t="s">
        <v>29</v>
      </c>
      <c r="C14" s="192"/>
      <c r="D14" s="31" t="s">
        <v>27</v>
      </c>
      <c r="E14" s="85"/>
    </row>
    <row r="15" spans="1:5" s="19" customFormat="1">
      <c r="A15" s="8" t="s">
        <v>12</v>
      </c>
      <c r="B15" s="191" t="s">
        <v>30</v>
      </c>
      <c r="C15" s="191"/>
      <c r="D15" s="164">
        <f>17571.42</f>
        <v>17571.419999999998</v>
      </c>
      <c r="E15" s="85" t="s">
        <v>43</v>
      </c>
    </row>
    <row r="16" spans="1:5" s="19" customFormat="1">
      <c r="A16" s="8" t="s">
        <v>16</v>
      </c>
      <c r="B16" s="211" t="s">
        <v>113</v>
      </c>
      <c r="C16" s="212"/>
      <c r="D16" s="164">
        <f>10870.2</f>
        <v>10870.2</v>
      </c>
      <c r="E16" s="85" t="s">
        <v>43</v>
      </c>
    </row>
    <row r="17" spans="1:7" s="19" customFormat="1">
      <c r="A17" s="8" t="s">
        <v>17</v>
      </c>
      <c r="B17" s="191" t="s">
        <v>31</v>
      </c>
      <c r="C17" s="191"/>
      <c r="D17" s="164">
        <f>2900+1499+2299</f>
        <v>6698</v>
      </c>
      <c r="E17" s="85" t="s">
        <v>42</v>
      </c>
      <c r="F17" s="213"/>
    </row>
    <row r="18" spans="1:7" s="19" customFormat="1" ht="15" customHeight="1">
      <c r="A18" s="26" t="s">
        <v>274</v>
      </c>
      <c r="B18" s="27"/>
      <c r="C18" s="27"/>
      <c r="D18" s="30"/>
      <c r="E18" s="85"/>
    </row>
    <row r="19" spans="1:7">
      <c r="A19" s="70" t="s">
        <v>28</v>
      </c>
      <c r="B19" s="192" t="s">
        <v>29</v>
      </c>
      <c r="C19" s="192"/>
      <c r="D19" s="31" t="s">
        <v>27</v>
      </c>
      <c r="E19" s="85"/>
    </row>
    <row r="20" spans="1:7">
      <c r="A20" s="8" t="s">
        <v>12</v>
      </c>
      <c r="B20" s="191" t="s">
        <v>30</v>
      </c>
      <c r="C20" s="191"/>
      <c r="D20" s="32">
        <f>19152+4965.9+389.91+289.05</f>
        <v>24796.86</v>
      </c>
      <c r="E20" s="85" t="s">
        <v>43</v>
      </c>
      <c r="F20" s="80"/>
    </row>
    <row r="21" spans="1:7">
      <c r="A21" s="8" t="s">
        <v>13</v>
      </c>
      <c r="B21" s="194" t="s">
        <v>32</v>
      </c>
      <c r="C21" s="195"/>
      <c r="D21" s="32">
        <v>5000</v>
      </c>
      <c r="E21" s="85" t="s">
        <v>43</v>
      </c>
      <c r="F21" s="80"/>
    </row>
    <row r="22" spans="1:7">
      <c r="A22" s="8" t="s">
        <v>14</v>
      </c>
      <c r="B22" s="194" t="s">
        <v>312</v>
      </c>
      <c r="C22" s="195"/>
      <c r="D22" s="32">
        <v>191</v>
      </c>
      <c r="E22" s="85" t="s">
        <v>43</v>
      </c>
      <c r="F22" s="80"/>
    </row>
    <row r="23" spans="1:7">
      <c r="A23" s="8" t="s">
        <v>15</v>
      </c>
      <c r="B23" s="191" t="s">
        <v>31</v>
      </c>
      <c r="C23" s="191"/>
      <c r="D23" s="32">
        <f>898+2000+983.94+999+2846</f>
        <v>7726.9400000000005</v>
      </c>
      <c r="E23" s="85" t="s">
        <v>42</v>
      </c>
    </row>
    <row r="24" spans="1:7" ht="15" customHeight="1">
      <c r="A24" s="28" t="s">
        <v>115</v>
      </c>
      <c r="B24" s="29"/>
      <c r="C24" s="29"/>
      <c r="D24" s="33"/>
      <c r="E24" s="85"/>
    </row>
    <row r="25" spans="1:7">
      <c r="A25" s="69" t="s">
        <v>28</v>
      </c>
      <c r="B25" s="193" t="s">
        <v>29</v>
      </c>
      <c r="C25" s="193"/>
      <c r="D25" s="34" t="s">
        <v>27</v>
      </c>
      <c r="E25" s="85"/>
    </row>
    <row r="26" spans="1:7">
      <c r="A26" s="10" t="s">
        <v>12</v>
      </c>
      <c r="B26" s="186" t="s">
        <v>321</v>
      </c>
      <c r="C26" s="186"/>
      <c r="D26" s="5">
        <f>2530+3274+596</f>
        <v>6400</v>
      </c>
      <c r="E26" s="85" t="s">
        <v>43</v>
      </c>
    </row>
    <row r="27" spans="1:7">
      <c r="A27" s="10" t="s">
        <v>13</v>
      </c>
      <c r="B27" s="186" t="s">
        <v>322</v>
      </c>
      <c r="C27" s="186"/>
      <c r="D27" s="87">
        <f>2580.54+1070</f>
        <v>3650.54</v>
      </c>
      <c r="E27" s="85" t="s">
        <v>43</v>
      </c>
    </row>
    <row r="28" spans="1:7">
      <c r="A28" s="10" t="s">
        <v>17</v>
      </c>
      <c r="B28" s="182" t="s">
        <v>323</v>
      </c>
      <c r="C28" s="183"/>
      <c r="D28" s="5">
        <f>2782+3377+5977+2797</f>
        <v>14933</v>
      </c>
      <c r="E28" s="85" t="s">
        <v>42</v>
      </c>
    </row>
    <row r="29" spans="1:7">
      <c r="A29" s="91" t="s">
        <v>116</v>
      </c>
      <c r="B29" s="19"/>
      <c r="C29" s="19"/>
      <c r="D29" s="92"/>
      <c r="E29" s="85"/>
      <c r="G29" s="82"/>
    </row>
    <row r="30" spans="1:7">
      <c r="A30" s="69" t="s">
        <v>28</v>
      </c>
      <c r="B30" s="193" t="s">
        <v>29</v>
      </c>
      <c r="C30" s="193"/>
      <c r="D30" s="34" t="s">
        <v>27</v>
      </c>
      <c r="E30" s="85"/>
      <c r="G30" s="82"/>
    </row>
    <row r="31" spans="1:7">
      <c r="A31" s="10" t="s">
        <v>12</v>
      </c>
      <c r="B31" s="186" t="s">
        <v>30</v>
      </c>
      <c r="C31" s="186"/>
      <c r="D31" s="5">
        <f>4956.9+2706+1845+2214</f>
        <v>11721.9</v>
      </c>
      <c r="E31" s="85" t="s">
        <v>43</v>
      </c>
      <c r="G31" s="82"/>
    </row>
    <row r="32" spans="1:7">
      <c r="A32" s="10" t="s">
        <v>13</v>
      </c>
      <c r="B32" s="186" t="s">
        <v>32</v>
      </c>
      <c r="C32" s="186"/>
      <c r="D32" s="87">
        <v>1537.5</v>
      </c>
      <c r="E32" s="85" t="s">
        <v>43</v>
      </c>
      <c r="G32" s="82"/>
    </row>
    <row r="33" spans="1:7">
      <c r="A33" s="10" t="s">
        <v>14</v>
      </c>
      <c r="B33" s="182" t="s">
        <v>331</v>
      </c>
      <c r="C33" s="183"/>
      <c r="D33" s="87">
        <v>12949</v>
      </c>
      <c r="E33" s="85" t="s">
        <v>43</v>
      </c>
      <c r="G33" s="82"/>
    </row>
    <row r="34" spans="1:7">
      <c r="A34" s="10" t="s">
        <v>15</v>
      </c>
      <c r="B34" s="182" t="s">
        <v>31</v>
      </c>
      <c r="C34" s="183"/>
      <c r="D34" s="5">
        <f>51660+32595+9225+1045.5+2152.5+2952</f>
        <v>99630</v>
      </c>
      <c r="E34" s="85" t="s">
        <v>42</v>
      </c>
      <c r="G34" s="82"/>
    </row>
    <row r="35" spans="1:7">
      <c r="A35" s="91" t="s">
        <v>120</v>
      </c>
      <c r="B35" s="19"/>
      <c r="C35" s="19"/>
      <c r="D35" s="92"/>
      <c r="E35" s="85"/>
      <c r="G35" s="82"/>
    </row>
    <row r="36" spans="1:7">
      <c r="A36" s="69" t="s">
        <v>28</v>
      </c>
      <c r="B36" s="193" t="s">
        <v>29</v>
      </c>
      <c r="C36" s="193"/>
      <c r="D36" s="34" t="s">
        <v>27</v>
      </c>
      <c r="E36" s="85"/>
      <c r="G36" s="82"/>
    </row>
    <row r="37" spans="1:7">
      <c r="A37" s="10" t="s">
        <v>12</v>
      </c>
      <c r="B37" s="186" t="s">
        <v>321</v>
      </c>
      <c r="C37" s="186"/>
      <c r="D37" s="5">
        <f>43359+1800</f>
        <v>45159</v>
      </c>
      <c r="E37" s="85" t="s">
        <v>43</v>
      </c>
      <c r="G37" s="82"/>
    </row>
    <row r="38" spans="1:7">
      <c r="A38" s="10" t="s">
        <v>13</v>
      </c>
      <c r="B38" s="186" t="s">
        <v>324</v>
      </c>
      <c r="C38" s="186"/>
      <c r="D38" s="5">
        <v>119376.53</v>
      </c>
      <c r="E38" s="85" t="s">
        <v>43</v>
      </c>
      <c r="G38" s="82"/>
    </row>
    <row r="39" spans="1:7">
      <c r="A39" s="10" t="s">
        <v>14</v>
      </c>
      <c r="B39" s="186" t="s">
        <v>322</v>
      </c>
      <c r="C39" s="186"/>
      <c r="D39" s="5">
        <f>3075+2037.5</f>
        <v>5112.5</v>
      </c>
      <c r="E39" s="85" t="s">
        <v>43</v>
      </c>
      <c r="G39" s="82"/>
    </row>
    <row r="40" spans="1:7">
      <c r="A40" s="10" t="s">
        <v>15</v>
      </c>
      <c r="B40" s="187" t="s">
        <v>291</v>
      </c>
      <c r="C40" s="188"/>
      <c r="D40" s="5">
        <v>4000</v>
      </c>
      <c r="E40" s="85" t="s">
        <v>43</v>
      </c>
      <c r="G40" s="82"/>
    </row>
    <row r="41" spans="1:7">
      <c r="A41" s="10" t="s">
        <v>16</v>
      </c>
      <c r="B41" s="182" t="s">
        <v>317</v>
      </c>
      <c r="C41" s="183"/>
      <c r="D41" s="5">
        <v>200</v>
      </c>
      <c r="E41" s="85" t="s">
        <v>43</v>
      </c>
      <c r="G41" s="82"/>
    </row>
    <row r="42" spans="1:7">
      <c r="A42" s="10" t="s">
        <v>17</v>
      </c>
      <c r="B42" s="182" t="s">
        <v>323</v>
      </c>
      <c r="C42" s="183"/>
      <c r="D42" s="5">
        <f>1291.5+71794.8+32595+9869.5</f>
        <v>115550.8</v>
      </c>
      <c r="E42" s="85" t="s">
        <v>42</v>
      </c>
      <c r="G42" s="82"/>
    </row>
    <row r="43" spans="1:7">
      <c r="A43" s="91" t="s">
        <v>121</v>
      </c>
      <c r="B43" s="19"/>
      <c r="C43" s="19"/>
      <c r="D43" s="92"/>
      <c r="E43" s="85"/>
      <c r="G43" s="82"/>
    </row>
    <row r="44" spans="1:7">
      <c r="A44" s="69" t="s">
        <v>28</v>
      </c>
      <c r="B44" s="193" t="s">
        <v>29</v>
      </c>
      <c r="C44" s="193"/>
      <c r="D44" s="34" t="s">
        <v>27</v>
      </c>
      <c r="E44" s="85"/>
      <c r="G44" s="82"/>
    </row>
    <row r="45" spans="1:7">
      <c r="A45" s="10" t="s">
        <v>12</v>
      </c>
      <c r="B45" s="186" t="s">
        <v>321</v>
      </c>
      <c r="C45" s="186"/>
      <c r="D45" s="5">
        <f>22873+4280+8388+3398+2799</f>
        <v>41738</v>
      </c>
      <c r="E45" s="85" t="s">
        <v>43</v>
      </c>
      <c r="G45" s="82"/>
    </row>
    <row r="46" spans="1:7">
      <c r="A46" s="10" t="s">
        <v>13</v>
      </c>
      <c r="B46" s="187" t="s">
        <v>56</v>
      </c>
      <c r="C46" s="188"/>
      <c r="D46" s="55">
        <v>30346.3</v>
      </c>
      <c r="E46" s="85" t="s">
        <v>43</v>
      </c>
      <c r="G46" s="82"/>
    </row>
    <row r="47" spans="1:7">
      <c r="A47" s="10" t="s">
        <v>14</v>
      </c>
      <c r="B47" s="187" t="s">
        <v>327</v>
      </c>
      <c r="C47" s="188"/>
      <c r="D47" s="55">
        <v>359</v>
      </c>
      <c r="E47" s="85" t="s">
        <v>43</v>
      </c>
      <c r="G47" s="82"/>
    </row>
    <row r="48" spans="1:7">
      <c r="A48" s="10" t="s">
        <v>15</v>
      </c>
      <c r="B48" s="187" t="s">
        <v>326</v>
      </c>
      <c r="C48" s="188"/>
      <c r="D48" s="55">
        <v>7250</v>
      </c>
      <c r="E48" s="85" t="s">
        <v>43</v>
      </c>
      <c r="G48" s="82"/>
    </row>
    <row r="49" spans="1:7">
      <c r="A49" s="10" t="s">
        <v>16</v>
      </c>
      <c r="B49" s="186" t="s">
        <v>32</v>
      </c>
      <c r="C49" s="186"/>
      <c r="D49" s="87">
        <f>3075+2037.5</f>
        <v>5112.5</v>
      </c>
      <c r="E49" s="85" t="s">
        <v>43</v>
      </c>
      <c r="G49" s="82"/>
    </row>
    <row r="50" spans="1:7">
      <c r="A50" s="10" t="s">
        <v>17</v>
      </c>
      <c r="B50" s="182" t="s">
        <v>31</v>
      </c>
      <c r="C50" s="183"/>
      <c r="D50" s="5">
        <f>77402-21286+2500+32595+17161</f>
        <v>108372</v>
      </c>
      <c r="E50" s="85" t="s">
        <v>42</v>
      </c>
      <c r="G50" s="82"/>
    </row>
    <row r="51" spans="1:7">
      <c r="A51" s="91" t="s">
        <v>129</v>
      </c>
      <c r="B51" s="19"/>
      <c r="C51" s="19"/>
      <c r="D51" s="92"/>
      <c r="E51" s="85"/>
      <c r="G51" s="82"/>
    </row>
    <row r="52" spans="1:7">
      <c r="A52" s="129" t="s">
        <v>28</v>
      </c>
      <c r="B52" s="193" t="s">
        <v>29</v>
      </c>
      <c r="C52" s="193"/>
      <c r="D52" s="34" t="s">
        <v>27</v>
      </c>
      <c r="E52" s="85"/>
      <c r="G52" s="82"/>
    </row>
    <row r="53" spans="1:7">
      <c r="A53" s="10" t="s">
        <v>12</v>
      </c>
      <c r="B53" s="186" t="s">
        <v>321</v>
      </c>
      <c r="C53" s="186"/>
      <c r="D53" s="5">
        <f>21978+10242.76+560+560+560+560+560+350+250+1100+848.7+1100</f>
        <v>38669.46</v>
      </c>
      <c r="E53" s="85" t="s">
        <v>43</v>
      </c>
      <c r="G53" s="82"/>
    </row>
    <row r="54" spans="1:7">
      <c r="A54" s="10" t="s">
        <v>13</v>
      </c>
      <c r="B54" s="186" t="s">
        <v>322</v>
      </c>
      <c r="C54" s="186"/>
      <c r="D54" s="87">
        <f>6562+1537.5</f>
        <v>8099.5</v>
      </c>
      <c r="E54" s="85" t="s">
        <v>43</v>
      </c>
      <c r="G54" s="82"/>
    </row>
    <row r="55" spans="1:7">
      <c r="A55" s="10" t="s">
        <v>14</v>
      </c>
      <c r="B55" s="191" t="s">
        <v>443</v>
      </c>
      <c r="C55" s="191"/>
      <c r="D55" s="163">
        <v>650</v>
      </c>
      <c r="E55" s="85" t="s">
        <v>43</v>
      </c>
      <c r="G55" s="82"/>
    </row>
    <row r="56" spans="1:7">
      <c r="A56" s="10" t="s">
        <v>15</v>
      </c>
      <c r="B56" s="189" t="s">
        <v>326</v>
      </c>
      <c r="C56" s="190"/>
      <c r="D56" s="163">
        <v>8350</v>
      </c>
      <c r="E56" s="85" t="s">
        <v>43</v>
      </c>
      <c r="G56" s="82"/>
    </row>
    <row r="57" spans="1:7">
      <c r="A57" s="10" t="s">
        <v>16</v>
      </c>
      <c r="B57" s="187" t="s">
        <v>324</v>
      </c>
      <c r="C57" s="188"/>
      <c r="D57" s="87">
        <f>29319+2214</f>
        <v>31533</v>
      </c>
      <c r="E57" s="85" t="s">
        <v>43</v>
      </c>
      <c r="G57" s="82"/>
    </row>
    <row r="58" spans="1:7">
      <c r="A58" s="10" t="s">
        <v>17</v>
      </c>
      <c r="B58" s="182" t="s">
        <v>323</v>
      </c>
      <c r="C58" s="183"/>
      <c r="D58" s="5">
        <f>170816.23</f>
        <v>170816.23</v>
      </c>
      <c r="E58" s="85" t="s">
        <v>42</v>
      </c>
      <c r="G58" s="82"/>
    </row>
    <row r="59" spans="1:7">
      <c r="A59" s="91" t="s">
        <v>134</v>
      </c>
      <c r="B59" s="19"/>
      <c r="C59" s="19"/>
      <c r="D59" s="92"/>
      <c r="E59" s="85"/>
      <c r="G59" s="82"/>
    </row>
    <row r="60" spans="1:7">
      <c r="A60" s="69" t="s">
        <v>28</v>
      </c>
      <c r="B60" s="193" t="s">
        <v>29</v>
      </c>
      <c r="C60" s="193"/>
      <c r="D60" s="34" t="s">
        <v>27</v>
      </c>
      <c r="E60" s="85"/>
      <c r="G60" s="82"/>
    </row>
    <row r="61" spans="1:7">
      <c r="A61" s="10" t="s">
        <v>12</v>
      </c>
      <c r="B61" s="186" t="s">
        <v>30</v>
      </c>
      <c r="C61" s="186"/>
      <c r="D61" s="5">
        <f>358+1100+250+1100+250+274+750+499+419+129+239</f>
        <v>5368</v>
      </c>
      <c r="E61" s="85" t="s">
        <v>43</v>
      </c>
      <c r="G61" s="82"/>
    </row>
    <row r="62" spans="1:7">
      <c r="A62" s="10" t="s">
        <v>13</v>
      </c>
      <c r="B62" s="186" t="s">
        <v>32</v>
      </c>
      <c r="C62" s="186"/>
      <c r="D62" s="87">
        <f>3075+3075+2500+1537.5</f>
        <v>10187.5</v>
      </c>
      <c r="E62" s="85" t="s">
        <v>43</v>
      </c>
      <c r="G62" s="82"/>
    </row>
    <row r="63" spans="1:7">
      <c r="A63" s="10" t="s">
        <v>14</v>
      </c>
      <c r="B63" s="181" t="s">
        <v>55</v>
      </c>
      <c r="C63" s="181"/>
      <c r="D63" s="87">
        <f>499+419+129+239</f>
        <v>1286</v>
      </c>
      <c r="E63" s="85" t="s">
        <v>43</v>
      </c>
      <c r="G63" s="82"/>
    </row>
    <row r="64" spans="1:7">
      <c r="A64" s="10" t="s">
        <v>19</v>
      </c>
      <c r="B64" s="182" t="s">
        <v>31</v>
      </c>
      <c r="C64" s="183"/>
      <c r="D64" s="5">
        <f>3075+2755.2+2366.8+1699+1900+1900+1299+2299.01+1998.99+2300+1749+1749+3444+3444+2198.99+1999+4956.9+2706+2152.5+1845+2952+2214+51660+32595+9225+246+1045.5+615+3690</f>
        <v>152079.89000000001</v>
      </c>
      <c r="E64" s="85" t="s">
        <v>42</v>
      </c>
      <c r="G64" s="82"/>
    </row>
    <row r="66" spans="2:2">
      <c r="B66" s="79" t="s">
        <v>325</v>
      </c>
    </row>
  </sheetData>
  <mergeCells count="52">
    <mergeCell ref="B55:C55"/>
    <mergeCell ref="B50:C50"/>
    <mergeCell ref="B52:C52"/>
    <mergeCell ref="B49:C49"/>
    <mergeCell ref="B25:C25"/>
    <mergeCell ref="B40:C40"/>
    <mergeCell ref="B41:C41"/>
    <mergeCell ref="B33:C33"/>
    <mergeCell ref="B48:C48"/>
    <mergeCell ref="B46:C46"/>
    <mergeCell ref="B11:C11"/>
    <mergeCell ref="B17:C17"/>
    <mergeCell ref="B39:C39"/>
    <mergeCell ref="B36:C36"/>
    <mergeCell ref="B37:C37"/>
    <mergeCell ref="B20:C20"/>
    <mergeCell ref="B21:C21"/>
    <mergeCell ref="B22:C22"/>
    <mergeCell ref="B2:C2"/>
    <mergeCell ref="B3:C3"/>
    <mergeCell ref="B4:C4"/>
    <mergeCell ref="B10:C10"/>
    <mergeCell ref="B5:C5"/>
    <mergeCell ref="B9:C9"/>
    <mergeCell ref="B7:C7"/>
    <mergeCell ref="B27:C27"/>
    <mergeCell ref="B19:C19"/>
    <mergeCell ref="B38:C38"/>
    <mergeCell ref="B42:C42"/>
    <mergeCell ref="B44:C44"/>
    <mergeCell ref="B45:C45"/>
    <mergeCell ref="B26:C26"/>
    <mergeCell ref="B28:C28"/>
    <mergeCell ref="B30:C30"/>
    <mergeCell ref="B31:C31"/>
    <mergeCell ref="B32:C32"/>
    <mergeCell ref="B60:C60"/>
    <mergeCell ref="B63:C63"/>
    <mergeCell ref="B64:C64"/>
    <mergeCell ref="B6:C6"/>
    <mergeCell ref="B61:C61"/>
    <mergeCell ref="B62:C62"/>
    <mergeCell ref="B53:C53"/>
    <mergeCell ref="B54:C54"/>
    <mergeCell ref="B58:C58"/>
    <mergeCell ref="B57:C57"/>
    <mergeCell ref="B56:C56"/>
    <mergeCell ref="B23:C23"/>
    <mergeCell ref="B47:C47"/>
    <mergeCell ref="B34:C34"/>
    <mergeCell ref="B15:C15"/>
    <mergeCell ref="B14:C14"/>
  </mergeCells>
  <phoneticPr fontId="2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45" workbookViewId="0">
      <selection activeCell="E51" sqref="E51"/>
    </sheetView>
  </sheetViews>
  <sheetFormatPr defaultRowHeight="12.75"/>
  <cols>
    <col min="1" max="1" width="3.42578125" style="20" bestFit="1" customWidth="1"/>
    <col min="2" max="2" width="27.140625" style="20" customWidth="1"/>
    <col min="3" max="3" width="41" style="20" bestFit="1" customWidth="1"/>
    <col min="4" max="5" width="39" style="21" customWidth="1"/>
    <col min="6" max="16384" width="9.140625" style="4"/>
  </cols>
  <sheetData>
    <row r="1" spans="1:5">
      <c r="A1" s="36" t="s">
        <v>0</v>
      </c>
      <c r="B1" s="65" t="s">
        <v>34</v>
      </c>
      <c r="C1" s="65" t="s">
        <v>41</v>
      </c>
      <c r="D1" s="66" t="s">
        <v>35</v>
      </c>
      <c r="E1" s="67" t="s">
        <v>36</v>
      </c>
    </row>
    <row r="2" spans="1:5" ht="38.25">
      <c r="A2" s="196">
        <v>1</v>
      </c>
      <c r="B2" s="196" t="s">
        <v>258</v>
      </c>
      <c r="C2" s="136" t="s">
        <v>189</v>
      </c>
      <c r="D2" s="146" t="s">
        <v>259</v>
      </c>
      <c r="E2" s="147" t="s">
        <v>269</v>
      </c>
    </row>
    <row r="3" spans="1:5" ht="38.25">
      <c r="A3" s="196"/>
      <c r="B3" s="196"/>
      <c r="C3" s="136" t="s">
        <v>192</v>
      </c>
      <c r="D3" s="146" t="s">
        <v>260</v>
      </c>
      <c r="E3" s="147" t="s">
        <v>270</v>
      </c>
    </row>
    <row r="4" spans="1:5" ht="25.5">
      <c r="A4" s="196"/>
      <c r="B4" s="196"/>
      <c r="C4" s="136" t="s">
        <v>195</v>
      </c>
      <c r="D4" s="146" t="s">
        <v>261</v>
      </c>
      <c r="E4" s="147" t="s">
        <v>271</v>
      </c>
    </row>
    <row r="5" spans="1:5" ht="25.5">
      <c r="A5" s="196"/>
      <c r="B5" s="196"/>
      <c r="C5" s="136" t="s">
        <v>59</v>
      </c>
      <c r="D5" s="146" t="s">
        <v>261</v>
      </c>
      <c r="E5" s="147" t="s">
        <v>270</v>
      </c>
    </row>
    <row r="6" spans="1:5" ht="25.5">
      <c r="A6" s="196"/>
      <c r="B6" s="196"/>
      <c r="C6" s="136" t="s">
        <v>199</v>
      </c>
      <c r="D6" s="146" t="s">
        <v>261</v>
      </c>
      <c r="E6" s="147" t="s">
        <v>270</v>
      </c>
    </row>
    <row r="7" spans="1:5" ht="25.5">
      <c r="A7" s="196"/>
      <c r="B7" s="196"/>
      <c r="C7" s="136" t="s">
        <v>200</v>
      </c>
      <c r="D7" s="146" t="s">
        <v>262</v>
      </c>
      <c r="E7" s="147" t="s">
        <v>270</v>
      </c>
    </row>
    <row r="8" spans="1:5" ht="25.5">
      <c r="A8" s="196"/>
      <c r="B8" s="196"/>
      <c r="C8" s="136" t="s">
        <v>60</v>
      </c>
      <c r="D8" s="146" t="s">
        <v>261</v>
      </c>
      <c r="E8" s="147" t="s">
        <v>270</v>
      </c>
    </row>
    <row r="9" spans="1:5" ht="25.5">
      <c r="A9" s="196"/>
      <c r="B9" s="196"/>
      <c r="C9" s="136" t="s">
        <v>61</v>
      </c>
      <c r="D9" s="146" t="s">
        <v>261</v>
      </c>
      <c r="E9" s="147"/>
    </row>
    <row r="10" spans="1:5" ht="25.5">
      <c r="A10" s="196"/>
      <c r="B10" s="196"/>
      <c r="C10" s="136" t="s">
        <v>62</v>
      </c>
      <c r="D10" s="146" t="s">
        <v>261</v>
      </c>
      <c r="E10" s="147" t="s">
        <v>270</v>
      </c>
    </row>
    <row r="11" spans="1:5" ht="25.5">
      <c r="A11" s="196"/>
      <c r="B11" s="196"/>
      <c r="C11" s="136" t="s">
        <v>206</v>
      </c>
      <c r="D11" s="146"/>
      <c r="E11" s="147" t="s">
        <v>270</v>
      </c>
    </row>
    <row r="12" spans="1:5" ht="25.5">
      <c r="A12" s="196"/>
      <c r="B12" s="196"/>
      <c r="C12" s="136" t="s">
        <v>63</v>
      </c>
      <c r="D12" s="146" t="s">
        <v>264</v>
      </c>
      <c r="E12" s="147" t="s">
        <v>270</v>
      </c>
    </row>
    <row r="13" spans="1:5" s="42" customFormat="1" ht="25.5">
      <c r="A13" s="196"/>
      <c r="B13" s="196"/>
      <c r="C13" s="136" t="s">
        <v>64</v>
      </c>
      <c r="D13" s="146" t="s">
        <v>264</v>
      </c>
      <c r="E13" s="147"/>
    </row>
    <row r="14" spans="1:5" s="42" customFormat="1">
      <c r="A14" s="196"/>
      <c r="B14" s="196"/>
      <c r="C14" s="136" t="s">
        <v>65</v>
      </c>
      <c r="D14" s="146"/>
      <c r="E14" s="147" t="s">
        <v>272</v>
      </c>
    </row>
    <row r="15" spans="1:5" s="42" customFormat="1" ht="25.5">
      <c r="A15" s="196"/>
      <c r="B15" s="196"/>
      <c r="C15" s="136" t="s">
        <v>213</v>
      </c>
      <c r="D15" s="146" t="s">
        <v>263</v>
      </c>
      <c r="E15" s="147" t="s">
        <v>270</v>
      </c>
    </row>
    <row r="16" spans="1:5" s="42" customFormat="1" ht="25.5">
      <c r="A16" s="196"/>
      <c r="B16" s="196"/>
      <c r="C16" s="136" t="s">
        <v>66</v>
      </c>
      <c r="D16" s="146" t="s">
        <v>265</v>
      </c>
      <c r="E16" s="147"/>
    </row>
    <row r="17" spans="1:5" s="42" customFormat="1" ht="25.5">
      <c r="A17" s="196"/>
      <c r="B17" s="196"/>
      <c r="C17" s="136" t="s">
        <v>214</v>
      </c>
      <c r="D17" s="146" t="s">
        <v>264</v>
      </c>
      <c r="E17" s="147" t="s">
        <v>270</v>
      </c>
    </row>
    <row r="18" spans="1:5" s="42" customFormat="1" ht="25.5">
      <c r="A18" s="196"/>
      <c r="B18" s="196"/>
      <c r="C18" s="136" t="s">
        <v>216</v>
      </c>
      <c r="D18" s="146" t="s">
        <v>434</v>
      </c>
      <c r="E18" s="147" t="s">
        <v>270</v>
      </c>
    </row>
    <row r="19" spans="1:5" s="42" customFormat="1" ht="25.5">
      <c r="A19" s="196"/>
      <c r="B19" s="196"/>
      <c r="C19" s="136" t="s">
        <v>219</v>
      </c>
      <c r="D19" s="146" t="s">
        <v>261</v>
      </c>
      <c r="E19" s="147" t="s">
        <v>270</v>
      </c>
    </row>
    <row r="20" spans="1:5" s="42" customFormat="1" ht="25.5">
      <c r="A20" s="196"/>
      <c r="B20" s="196"/>
      <c r="C20" s="136" t="s">
        <v>67</v>
      </c>
      <c r="D20" s="146" t="s">
        <v>261</v>
      </c>
      <c r="E20" s="147" t="s">
        <v>270</v>
      </c>
    </row>
    <row r="21" spans="1:5" ht="25.5">
      <c r="A21" s="196"/>
      <c r="B21" s="196"/>
      <c r="C21" s="136" t="s">
        <v>221</v>
      </c>
      <c r="D21" s="146" t="s">
        <v>261</v>
      </c>
      <c r="E21" s="147" t="s">
        <v>270</v>
      </c>
    </row>
    <row r="22" spans="1:5" ht="25.5">
      <c r="A22" s="196"/>
      <c r="B22" s="196"/>
      <c r="C22" s="136" t="s">
        <v>223</v>
      </c>
      <c r="D22" s="146" t="s">
        <v>261</v>
      </c>
      <c r="E22" s="147" t="s">
        <v>270</v>
      </c>
    </row>
    <row r="23" spans="1:5" ht="25.5">
      <c r="A23" s="196"/>
      <c r="B23" s="196"/>
      <c r="C23" s="136" t="s">
        <v>224</v>
      </c>
      <c r="D23" s="146" t="s">
        <v>262</v>
      </c>
      <c r="E23" s="147" t="s">
        <v>270</v>
      </c>
    </row>
    <row r="24" spans="1:5" ht="25.5">
      <c r="A24" s="196"/>
      <c r="B24" s="196"/>
      <c r="C24" s="136" t="s">
        <v>229</v>
      </c>
      <c r="D24" s="146" t="s">
        <v>261</v>
      </c>
      <c r="E24" s="147" t="s">
        <v>270</v>
      </c>
    </row>
    <row r="25" spans="1:5" ht="25.5">
      <c r="A25" s="196"/>
      <c r="B25" s="196"/>
      <c r="C25" s="136" t="s">
        <v>231</v>
      </c>
      <c r="D25" s="146" t="s">
        <v>261</v>
      </c>
      <c r="E25" s="147" t="s">
        <v>270</v>
      </c>
    </row>
    <row r="26" spans="1:5" ht="25.5">
      <c r="A26" s="196"/>
      <c r="B26" s="196"/>
      <c r="C26" s="136" t="s">
        <v>68</v>
      </c>
      <c r="D26" s="146" t="s">
        <v>261</v>
      </c>
      <c r="E26" s="147" t="s">
        <v>270</v>
      </c>
    </row>
    <row r="27" spans="1:5" ht="25.5">
      <c r="A27" s="196"/>
      <c r="B27" s="196"/>
      <c r="C27" s="136" t="s">
        <v>267</v>
      </c>
      <c r="D27" s="146" t="s">
        <v>266</v>
      </c>
      <c r="E27" s="147" t="s">
        <v>270</v>
      </c>
    </row>
    <row r="28" spans="1:5" ht="25.5" customHeight="1">
      <c r="A28" s="196"/>
      <c r="B28" s="196"/>
      <c r="C28" s="136" t="s">
        <v>234</v>
      </c>
      <c r="D28" s="146" t="s">
        <v>266</v>
      </c>
      <c r="E28" s="147" t="s">
        <v>270</v>
      </c>
    </row>
    <row r="29" spans="1:5" ht="25.5" customHeight="1">
      <c r="A29" s="196"/>
      <c r="B29" s="196"/>
      <c r="C29" s="136" t="s">
        <v>235</v>
      </c>
      <c r="D29" s="146" t="s">
        <v>266</v>
      </c>
      <c r="E29" s="147" t="s">
        <v>270</v>
      </c>
    </row>
    <row r="30" spans="1:5" ht="25.5" customHeight="1">
      <c r="A30" s="196"/>
      <c r="B30" s="196"/>
      <c r="C30" s="136" t="s">
        <v>69</v>
      </c>
      <c r="D30" s="146" t="s">
        <v>268</v>
      </c>
      <c r="E30" s="147" t="s">
        <v>270</v>
      </c>
    </row>
    <row r="31" spans="1:5" ht="25.5" customHeight="1">
      <c r="A31" s="196"/>
      <c r="B31" s="196"/>
      <c r="C31" s="136" t="s">
        <v>236</v>
      </c>
      <c r="D31" s="146" t="s">
        <v>261</v>
      </c>
      <c r="E31" s="147" t="s">
        <v>270</v>
      </c>
    </row>
    <row r="32" spans="1:5" ht="25.5" customHeight="1">
      <c r="A32" s="196"/>
      <c r="B32" s="196"/>
      <c r="C32" s="136" t="s">
        <v>70</v>
      </c>
      <c r="D32" s="146" t="s">
        <v>261</v>
      </c>
      <c r="E32" s="147" t="s">
        <v>273</v>
      </c>
    </row>
    <row r="33" spans="1:5" ht="25.5">
      <c r="A33" s="196"/>
      <c r="B33" s="196"/>
      <c r="C33" s="148" t="s">
        <v>410</v>
      </c>
      <c r="D33" s="146" t="s">
        <v>261</v>
      </c>
      <c r="E33" s="147" t="s">
        <v>270</v>
      </c>
    </row>
    <row r="34" spans="1:5" ht="25.5">
      <c r="A34" s="196"/>
      <c r="B34" s="196"/>
      <c r="C34" s="148" t="s">
        <v>412</v>
      </c>
      <c r="D34" s="146" t="s">
        <v>261</v>
      </c>
      <c r="E34" s="147" t="s">
        <v>270</v>
      </c>
    </row>
    <row r="35" spans="1:5" ht="25.5">
      <c r="A35" s="196"/>
      <c r="B35" s="196"/>
      <c r="C35" s="148" t="s">
        <v>413</v>
      </c>
      <c r="D35" s="146" t="s">
        <v>261</v>
      </c>
      <c r="E35" s="147" t="s">
        <v>270</v>
      </c>
    </row>
    <row r="36" spans="1:5" ht="25.5">
      <c r="A36" s="196"/>
      <c r="B36" s="196"/>
      <c r="C36" s="148" t="s">
        <v>413</v>
      </c>
      <c r="D36" s="146" t="s">
        <v>261</v>
      </c>
      <c r="E36" s="147" t="s">
        <v>270</v>
      </c>
    </row>
    <row r="37" spans="1:5" ht="25.5">
      <c r="A37" s="196"/>
      <c r="B37" s="196"/>
      <c r="C37" s="148" t="s">
        <v>435</v>
      </c>
      <c r="D37" s="146" t="s">
        <v>261</v>
      </c>
      <c r="E37" s="147" t="s">
        <v>270</v>
      </c>
    </row>
    <row r="38" spans="1:5" ht="25.5">
      <c r="A38" s="196"/>
      <c r="B38" s="196"/>
      <c r="C38" s="149" t="s">
        <v>437</v>
      </c>
      <c r="D38" s="146" t="s">
        <v>261</v>
      </c>
      <c r="E38" s="147" t="s">
        <v>270</v>
      </c>
    </row>
    <row r="39" spans="1:5" ht="25.5">
      <c r="A39" s="196"/>
      <c r="B39" s="196"/>
      <c r="C39" s="149" t="s">
        <v>416</v>
      </c>
      <c r="D39" s="146" t="s">
        <v>261</v>
      </c>
      <c r="E39" s="147" t="s">
        <v>270</v>
      </c>
    </row>
    <row r="40" spans="1:5" ht="25.5">
      <c r="A40" s="196"/>
      <c r="B40" s="196"/>
      <c r="C40" s="149" t="s">
        <v>436</v>
      </c>
      <c r="D40" s="146" t="s">
        <v>261</v>
      </c>
      <c r="E40" s="147" t="s">
        <v>270</v>
      </c>
    </row>
    <row r="41" spans="1:5">
      <c r="A41" s="136" t="s">
        <v>13</v>
      </c>
      <c r="B41" s="150" t="s">
        <v>438</v>
      </c>
      <c r="C41" s="197" t="s">
        <v>439</v>
      </c>
      <c r="D41" s="197"/>
      <c r="E41" s="197"/>
    </row>
    <row r="42" spans="1:5">
      <c r="A42" s="136" t="s">
        <v>14</v>
      </c>
      <c r="B42" s="150" t="s">
        <v>440</v>
      </c>
      <c r="C42" s="197" t="s">
        <v>439</v>
      </c>
      <c r="D42" s="197"/>
      <c r="E42" s="197"/>
    </row>
    <row r="43" spans="1:5" s="19" customFormat="1" ht="25.5">
      <c r="A43" s="148" t="s">
        <v>15</v>
      </c>
      <c r="B43" s="148" t="s">
        <v>275</v>
      </c>
      <c r="C43" s="149" t="s">
        <v>187</v>
      </c>
      <c r="D43" s="146" t="s">
        <v>263</v>
      </c>
      <c r="E43" s="146"/>
    </row>
    <row r="44" spans="1:5" ht="25.5">
      <c r="A44" s="148" t="s">
        <v>16</v>
      </c>
      <c r="B44" s="148" t="s">
        <v>276</v>
      </c>
      <c r="C44" s="148" t="s">
        <v>277</v>
      </c>
      <c r="D44" s="146"/>
      <c r="E44" s="147"/>
    </row>
    <row r="45" spans="1:5" s="42" customFormat="1" ht="38.25" customHeight="1">
      <c r="A45" s="204" t="s">
        <v>17</v>
      </c>
      <c r="B45" s="204" t="s">
        <v>117</v>
      </c>
      <c r="C45" s="54" t="s">
        <v>278</v>
      </c>
      <c r="D45" s="50" t="s">
        <v>329</v>
      </c>
      <c r="E45" s="51" t="s">
        <v>283</v>
      </c>
    </row>
    <row r="46" spans="1:5" ht="25.5">
      <c r="A46" s="204"/>
      <c r="B46" s="204"/>
      <c r="C46" s="54" t="s">
        <v>118</v>
      </c>
      <c r="D46" s="50" t="s">
        <v>330</v>
      </c>
      <c r="E46" s="50"/>
    </row>
    <row r="47" spans="1:5" ht="25.5">
      <c r="A47" s="49">
        <v>7</v>
      </c>
      <c r="B47" s="49" t="s">
        <v>282</v>
      </c>
      <c r="C47" s="52" t="s">
        <v>278</v>
      </c>
      <c r="D47" s="50" t="s">
        <v>318</v>
      </c>
      <c r="E47" s="51" t="s">
        <v>273</v>
      </c>
    </row>
    <row r="48" spans="1:5" ht="52.5" customHeight="1">
      <c r="A48" s="49">
        <v>8</v>
      </c>
      <c r="B48" s="49" t="s">
        <v>121</v>
      </c>
      <c r="C48" s="53" t="s">
        <v>278</v>
      </c>
      <c r="D48" s="50" t="s">
        <v>290</v>
      </c>
      <c r="E48" s="51" t="s">
        <v>289</v>
      </c>
    </row>
    <row r="49" spans="1:5" s="42" customFormat="1" ht="52.5" customHeight="1">
      <c r="A49" s="205">
        <v>9</v>
      </c>
      <c r="B49" s="205" t="s">
        <v>292</v>
      </c>
      <c r="C49" s="16" t="s">
        <v>125</v>
      </c>
      <c r="D49" s="50" t="s">
        <v>441</v>
      </c>
      <c r="E49" s="51" t="s">
        <v>293</v>
      </c>
    </row>
    <row r="50" spans="1:5" ht="27.75" customHeight="1">
      <c r="A50" s="206"/>
      <c r="B50" s="206"/>
      <c r="C50" s="57" t="s">
        <v>126</v>
      </c>
      <c r="D50" s="58" t="s">
        <v>442</v>
      </c>
      <c r="E50" s="59" t="s">
        <v>271</v>
      </c>
    </row>
    <row r="51" spans="1:5" ht="36.75" customHeight="1">
      <c r="A51" s="203">
        <v>10</v>
      </c>
      <c r="B51" s="202" t="s">
        <v>307</v>
      </c>
      <c r="C51" s="35" t="s">
        <v>300</v>
      </c>
      <c r="D51" s="22" t="s">
        <v>332</v>
      </c>
      <c r="E51" s="22"/>
    </row>
    <row r="52" spans="1:5" ht="36.75" customHeight="1">
      <c r="A52" s="203"/>
      <c r="B52" s="202"/>
      <c r="C52" s="35" t="s">
        <v>301</v>
      </c>
      <c r="D52" s="22" t="s">
        <v>333</v>
      </c>
      <c r="E52" s="22"/>
    </row>
    <row r="53" spans="1:5" ht="15.75" customHeight="1">
      <c r="A53" s="203"/>
      <c r="B53" s="202"/>
      <c r="C53" s="35" t="s">
        <v>126</v>
      </c>
      <c r="D53" s="22" t="s">
        <v>308</v>
      </c>
      <c r="E53" s="22"/>
    </row>
    <row r="54" spans="1:5" ht="13.5" hidden="1" thickBot="1">
      <c r="A54" s="60"/>
      <c r="B54" s="61"/>
      <c r="C54" s="62"/>
      <c r="D54" s="63"/>
      <c r="E54" s="64"/>
    </row>
    <row r="55" spans="1:5" ht="13.5" hidden="1" thickBot="1">
      <c r="A55" s="200">
        <v>16</v>
      </c>
      <c r="B55" s="198" t="s">
        <v>52</v>
      </c>
      <c r="C55" s="6"/>
      <c r="D55" s="37"/>
      <c r="E55" s="38"/>
    </row>
    <row r="56" spans="1:5" ht="13.5" hidden="1" thickBot="1">
      <c r="A56" s="201"/>
      <c r="B56" s="199"/>
      <c r="C56" s="42"/>
      <c r="D56" s="37"/>
      <c r="E56" s="23"/>
    </row>
    <row r="57" spans="1:5" ht="13.5" hidden="1" thickBot="1">
      <c r="A57" s="201"/>
      <c r="B57" s="199"/>
      <c r="C57" s="41"/>
      <c r="D57" s="37"/>
      <c r="E57" s="23"/>
    </row>
    <row r="58" spans="1:5" hidden="1">
      <c r="A58" s="201"/>
      <c r="B58" s="199"/>
      <c r="C58" s="6"/>
      <c r="D58" s="37"/>
      <c r="E58" s="23"/>
    </row>
    <row r="59" spans="1:5" hidden="1"/>
    <row r="60" spans="1:5" hidden="1"/>
  </sheetData>
  <mergeCells count="12">
    <mergeCell ref="B2:B40"/>
    <mergeCell ref="A2:A40"/>
    <mergeCell ref="C41:E41"/>
    <mergeCell ref="C42:E42"/>
    <mergeCell ref="B55:B58"/>
    <mergeCell ref="A55:A58"/>
    <mergeCell ref="B51:B53"/>
    <mergeCell ref="A51:A53"/>
    <mergeCell ref="B45:B46"/>
    <mergeCell ref="A45:A46"/>
    <mergeCell ref="B49:B50"/>
    <mergeCell ref="A49:A50"/>
  </mergeCells>
  <phoneticPr fontId="2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Normal="145" workbookViewId="0">
      <selection activeCell="M15" sqref="M15"/>
    </sheetView>
  </sheetViews>
  <sheetFormatPr defaultRowHeight="15"/>
  <cols>
    <col min="1" max="1" width="5.42578125" style="7" customWidth="1"/>
    <col min="2" max="2" width="11.42578125" style="7" customWidth="1"/>
    <col min="3" max="3" width="9.140625" style="7"/>
    <col min="4" max="4" width="9.5703125" style="7" bestFit="1" customWidth="1"/>
    <col min="5" max="5" width="16.5703125" style="7" bestFit="1" customWidth="1"/>
    <col min="6" max="6" width="9.28515625" style="9" bestFit="1" customWidth="1"/>
    <col min="7" max="7" width="9.28515625" style="7" bestFit="1" customWidth="1"/>
    <col min="8" max="8" width="19.7109375" style="7" bestFit="1" customWidth="1"/>
    <col min="9" max="9" width="23" style="25" customWidth="1"/>
    <col min="10" max="10" width="11" style="7" customWidth="1"/>
    <col min="11" max="11" width="9.85546875" style="7" bestFit="1" customWidth="1"/>
    <col min="12" max="12" width="18.85546875" style="7" customWidth="1"/>
    <col min="13" max="13" width="9.140625" style="1"/>
    <col min="14" max="14" width="17.28515625" style="1" customWidth="1"/>
    <col min="15" max="15" width="9.140625" style="1"/>
    <col min="16" max="16" width="10.85546875" style="1" bestFit="1" customWidth="1"/>
    <col min="17" max="17" width="9.85546875" style="1" bestFit="1" customWidth="1"/>
    <col min="18" max="16384" width="9.140625" style="1"/>
  </cols>
  <sheetData>
    <row r="1" spans="1:17" ht="36.75">
      <c r="A1" s="48" t="s">
        <v>0</v>
      </c>
      <c r="B1" s="48" t="s">
        <v>37</v>
      </c>
      <c r="C1" s="48" t="s">
        <v>38</v>
      </c>
      <c r="D1" s="48" t="s">
        <v>39</v>
      </c>
      <c r="E1" s="48" t="s">
        <v>40</v>
      </c>
      <c r="F1" s="48" t="s">
        <v>351</v>
      </c>
      <c r="G1" s="48" t="s">
        <v>352</v>
      </c>
      <c r="H1" s="48" t="s">
        <v>353</v>
      </c>
      <c r="I1" s="48" t="s">
        <v>354</v>
      </c>
      <c r="J1" s="48" t="s">
        <v>355</v>
      </c>
      <c r="K1" s="48" t="s">
        <v>356</v>
      </c>
      <c r="L1" s="48" t="s">
        <v>357</v>
      </c>
      <c r="M1" s="48" t="s">
        <v>358</v>
      </c>
      <c r="N1" s="98" t="s">
        <v>359</v>
      </c>
    </row>
    <row r="2" spans="1:17" s="40" customFormat="1" ht="25.5" customHeight="1">
      <c r="A2" s="95" t="s">
        <v>12</v>
      </c>
      <c r="B2" s="153" t="s">
        <v>135</v>
      </c>
      <c r="C2" s="115" t="s">
        <v>136</v>
      </c>
      <c r="D2" s="115" t="s">
        <v>137</v>
      </c>
      <c r="E2" s="115" t="s">
        <v>138</v>
      </c>
      <c r="F2" s="115">
        <v>1995</v>
      </c>
      <c r="G2" s="115">
        <v>9</v>
      </c>
      <c r="H2" s="115">
        <v>2007</v>
      </c>
      <c r="I2" s="115" t="s">
        <v>139</v>
      </c>
      <c r="J2" s="122">
        <v>13000</v>
      </c>
      <c r="K2" s="120" t="s">
        <v>369</v>
      </c>
      <c r="L2" s="120" t="s">
        <v>369</v>
      </c>
      <c r="M2" s="120" t="s">
        <v>369</v>
      </c>
      <c r="N2" s="110" t="s">
        <v>256</v>
      </c>
      <c r="O2" s="40">
        <v>500</v>
      </c>
      <c r="P2" s="40">
        <f>G2*8</f>
        <v>72</v>
      </c>
      <c r="Q2" s="126">
        <f>J2*2%</f>
        <v>260</v>
      </c>
    </row>
    <row r="3" spans="1:17" s="40" customFormat="1" ht="25.5">
      <c r="A3" s="95" t="s">
        <v>13</v>
      </c>
      <c r="B3" s="153" t="s">
        <v>140</v>
      </c>
      <c r="C3" s="115" t="s">
        <v>141</v>
      </c>
      <c r="D3" s="115">
        <v>5341</v>
      </c>
      <c r="E3" s="115" t="s">
        <v>142</v>
      </c>
      <c r="F3" s="115" t="s">
        <v>143</v>
      </c>
      <c r="G3" s="115">
        <v>1</v>
      </c>
      <c r="H3" s="115">
        <v>1999</v>
      </c>
      <c r="I3" s="115">
        <v>1350</v>
      </c>
      <c r="J3" s="115" t="s">
        <v>245</v>
      </c>
      <c r="K3" s="120" t="s">
        <v>369</v>
      </c>
      <c r="L3" s="115" t="s">
        <v>18</v>
      </c>
      <c r="M3" s="120" t="s">
        <v>369</v>
      </c>
      <c r="N3" s="110" t="s">
        <v>256</v>
      </c>
      <c r="O3" s="40">
        <v>150</v>
      </c>
      <c r="P3" s="40">
        <f t="shared" ref="P3:P24" si="0">G3*8</f>
        <v>8</v>
      </c>
    </row>
    <row r="4" spans="1:17" s="40" customFormat="1" ht="25.5">
      <c r="A4" s="95" t="s">
        <v>14</v>
      </c>
      <c r="B4" s="153" t="s">
        <v>144</v>
      </c>
      <c r="C4" s="115" t="s">
        <v>145</v>
      </c>
      <c r="D4" s="115" t="s">
        <v>146</v>
      </c>
      <c r="E4" s="115" t="s">
        <v>147</v>
      </c>
      <c r="F4" s="115" t="s">
        <v>246</v>
      </c>
      <c r="G4" s="115" t="s">
        <v>18</v>
      </c>
      <c r="H4" s="115" t="s">
        <v>148</v>
      </c>
      <c r="I4" s="115" t="s">
        <v>149</v>
      </c>
      <c r="J4" s="115" t="s">
        <v>245</v>
      </c>
      <c r="K4" s="120" t="s">
        <v>369</v>
      </c>
      <c r="L4" s="115" t="s">
        <v>18</v>
      </c>
      <c r="M4" s="115" t="s">
        <v>18</v>
      </c>
      <c r="N4" s="110" t="s">
        <v>256</v>
      </c>
      <c r="O4" s="40">
        <v>150</v>
      </c>
    </row>
    <row r="5" spans="1:17" s="2" customFormat="1" ht="25.5">
      <c r="A5" s="95" t="s">
        <v>15</v>
      </c>
      <c r="B5" s="153" t="s">
        <v>152</v>
      </c>
      <c r="C5" s="115" t="s">
        <v>151</v>
      </c>
      <c r="D5" s="115">
        <v>244</v>
      </c>
      <c r="E5" s="115" t="s">
        <v>365</v>
      </c>
      <c r="F5" s="115">
        <v>6842</v>
      </c>
      <c r="G5" s="115">
        <v>8</v>
      </c>
      <c r="H5" s="115">
        <v>1984</v>
      </c>
      <c r="I5" s="115" t="s">
        <v>153</v>
      </c>
      <c r="J5" s="115" t="s">
        <v>245</v>
      </c>
      <c r="K5" s="120" t="s">
        <v>369</v>
      </c>
      <c r="L5" s="115" t="s">
        <v>18</v>
      </c>
      <c r="M5" s="120" t="s">
        <v>369</v>
      </c>
      <c r="N5" s="110" t="s">
        <v>256</v>
      </c>
      <c r="O5" s="40">
        <v>450</v>
      </c>
      <c r="P5" s="40">
        <f t="shared" si="0"/>
        <v>64</v>
      </c>
    </row>
    <row r="6" spans="1:17" s="2" customFormat="1" ht="25.5">
      <c r="A6" s="95" t="s">
        <v>16</v>
      </c>
      <c r="B6" s="153" t="s">
        <v>154</v>
      </c>
      <c r="C6" s="115" t="s">
        <v>151</v>
      </c>
      <c r="D6" s="115" t="s">
        <v>155</v>
      </c>
      <c r="E6" s="115" t="s">
        <v>365</v>
      </c>
      <c r="F6" s="115">
        <v>6842</v>
      </c>
      <c r="G6" s="115">
        <v>8</v>
      </c>
      <c r="H6" s="115">
        <v>1982</v>
      </c>
      <c r="I6" s="115">
        <v>7666</v>
      </c>
      <c r="J6" s="115" t="s">
        <v>245</v>
      </c>
      <c r="K6" s="120" t="s">
        <v>369</v>
      </c>
      <c r="L6" s="115" t="s">
        <v>18</v>
      </c>
      <c r="M6" s="120" t="s">
        <v>369</v>
      </c>
      <c r="N6" s="110" t="s">
        <v>256</v>
      </c>
      <c r="O6" s="40">
        <v>450</v>
      </c>
      <c r="P6" s="40">
        <f t="shared" si="0"/>
        <v>64</v>
      </c>
    </row>
    <row r="7" spans="1:17" s="2" customFormat="1" ht="25.5">
      <c r="A7" s="95" t="s">
        <v>17</v>
      </c>
      <c r="B7" s="153" t="s">
        <v>156</v>
      </c>
      <c r="C7" s="115" t="s">
        <v>151</v>
      </c>
      <c r="D7" s="115">
        <v>244</v>
      </c>
      <c r="E7" s="115" t="s">
        <v>365</v>
      </c>
      <c r="F7" s="115">
        <v>6842</v>
      </c>
      <c r="G7" s="115">
        <v>8</v>
      </c>
      <c r="H7" s="115">
        <v>1979</v>
      </c>
      <c r="I7" s="115">
        <v>6083</v>
      </c>
      <c r="J7" s="115" t="s">
        <v>245</v>
      </c>
      <c r="K7" s="120" t="s">
        <v>369</v>
      </c>
      <c r="L7" s="115" t="s">
        <v>18</v>
      </c>
      <c r="M7" s="120" t="s">
        <v>369</v>
      </c>
      <c r="N7" s="110" t="s">
        <v>256</v>
      </c>
      <c r="O7" s="40">
        <v>450</v>
      </c>
      <c r="P7" s="40">
        <f t="shared" si="0"/>
        <v>64</v>
      </c>
    </row>
    <row r="8" spans="1:17" s="2" customFormat="1" ht="25.5">
      <c r="A8" s="95" t="s">
        <v>19</v>
      </c>
      <c r="B8" s="153" t="s">
        <v>157</v>
      </c>
      <c r="C8" s="115" t="s">
        <v>158</v>
      </c>
      <c r="D8" s="115" t="s">
        <v>159</v>
      </c>
      <c r="E8" s="115" t="s">
        <v>365</v>
      </c>
      <c r="F8" s="115">
        <v>6842</v>
      </c>
      <c r="G8" s="115">
        <v>6</v>
      </c>
      <c r="H8" s="115">
        <v>1978</v>
      </c>
      <c r="I8" s="115">
        <v>5127</v>
      </c>
      <c r="J8" s="115" t="s">
        <v>245</v>
      </c>
      <c r="K8" s="120" t="s">
        <v>369</v>
      </c>
      <c r="L8" s="115" t="s">
        <v>18</v>
      </c>
      <c r="M8" s="120" t="s">
        <v>369</v>
      </c>
      <c r="N8" s="110" t="s">
        <v>256</v>
      </c>
      <c r="O8" s="40">
        <v>450</v>
      </c>
      <c r="P8" s="40">
        <f t="shared" si="0"/>
        <v>48</v>
      </c>
    </row>
    <row r="9" spans="1:17" s="2" customFormat="1" ht="25.5">
      <c r="A9" s="95" t="s">
        <v>20</v>
      </c>
      <c r="B9" s="153" t="s">
        <v>160</v>
      </c>
      <c r="C9" s="115" t="s">
        <v>158</v>
      </c>
      <c r="D9" s="115" t="s">
        <v>161</v>
      </c>
      <c r="E9" s="115" t="s">
        <v>365</v>
      </c>
      <c r="F9" s="115">
        <v>6842</v>
      </c>
      <c r="G9" s="115">
        <v>8</v>
      </c>
      <c r="H9" s="115">
        <v>1978</v>
      </c>
      <c r="I9" s="115">
        <v>822987</v>
      </c>
      <c r="J9" s="115" t="s">
        <v>245</v>
      </c>
      <c r="K9" s="120" t="s">
        <v>369</v>
      </c>
      <c r="L9" s="115" t="s">
        <v>18</v>
      </c>
      <c r="M9" s="120" t="s">
        <v>369</v>
      </c>
      <c r="N9" s="110" t="s">
        <v>256</v>
      </c>
      <c r="O9" s="40">
        <v>450</v>
      </c>
      <c r="P9" s="40">
        <f t="shared" si="0"/>
        <v>64</v>
      </c>
    </row>
    <row r="10" spans="1:17" s="2" customFormat="1" ht="30" customHeight="1">
      <c r="A10" s="95" t="s">
        <v>21</v>
      </c>
      <c r="B10" s="153" t="s">
        <v>165</v>
      </c>
      <c r="C10" s="115" t="s">
        <v>166</v>
      </c>
      <c r="D10" s="115" t="s">
        <v>167</v>
      </c>
      <c r="E10" s="115" t="s">
        <v>365</v>
      </c>
      <c r="F10" s="115">
        <v>2198</v>
      </c>
      <c r="G10" s="115">
        <v>5</v>
      </c>
      <c r="H10" s="115">
        <v>2013</v>
      </c>
      <c r="I10" s="115" t="s">
        <v>168</v>
      </c>
      <c r="J10" s="115" t="s">
        <v>245</v>
      </c>
      <c r="K10" s="120" t="s">
        <v>369</v>
      </c>
      <c r="L10" s="115" t="s">
        <v>18</v>
      </c>
      <c r="M10" s="120" t="s">
        <v>369</v>
      </c>
      <c r="N10" s="110" t="s">
        <v>256</v>
      </c>
      <c r="O10" s="40">
        <v>450</v>
      </c>
      <c r="P10" s="40">
        <f t="shared" si="0"/>
        <v>40</v>
      </c>
    </row>
    <row r="11" spans="1:17" s="2" customFormat="1" ht="25.5">
      <c r="A11" s="95" t="s">
        <v>22</v>
      </c>
      <c r="B11" s="153" t="s">
        <v>169</v>
      </c>
      <c r="C11" s="115" t="s">
        <v>170</v>
      </c>
      <c r="D11" s="115" t="s">
        <v>167</v>
      </c>
      <c r="E11" s="115" t="s">
        <v>365</v>
      </c>
      <c r="F11" s="115">
        <v>2402</v>
      </c>
      <c r="G11" s="115">
        <v>6</v>
      </c>
      <c r="H11" s="115">
        <v>2011</v>
      </c>
      <c r="I11" s="115" t="s">
        <v>171</v>
      </c>
      <c r="J11" s="115" t="s">
        <v>245</v>
      </c>
      <c r="K11" s="120" t="s">
        <v>369</v>
      </c>
      <c r="L11" s="115" t="s">
        <v>18</v>
      </c>
      <c r="M11" s="120" t="s">
        <v>369</v>
      </c>
      <c r="N11" s="110" t="s">
        <v>257</v>
      </c>
      <c r="O11" s="40">
        <v>450</v>
      </c>
      <c r="P11" s="40">
        <f t="shared" si="0"/>
        <v>48</v>
      </c>
    </row>
    <row r="12" spans="1:17" s="2" customFormat="1" ht="25.5">
      <c r="A12" s="95" t="s">
        <v>23</v>
      </c>
      <c r="B12" s="153" t="s">
        <v>162</v>
      </c>
      <c r="C12" s="115" t="s">
        <v>163</v>
      </c>
      <c r="D12" s="115">
        <v>3524</v>
      </c>
      <c r="E12" s="115" t="s">
        <v>365</v>
      </c>
      <c r="F12" s="115">
        <v>2417</v>
      </c>
      <c r="G12" s="115">
        <v>6</v>
      </c>
      <c r="H12" s="115">
        <v>1999</v>
      </c>
      <c r="I12" s="115" t="s">
        <v>164</v>
      </c>
      <c r="J12" s="115" t="s">
        <v>245</v>
      </c>
      <c r="K12" s="120" t="s">
        <v>369</v>
      </c>
      <c r="L12" s="115" t="s">
        <v>18</v>
      </c>
      <c r="M12" s="120" t="s">
        <v>369</v>
      </c>
      <c r="N12" s="110" t="s">
        <v>257</v>
      </c>
      <c r="O12" s="40">
        <v>450</v>
      </c>
      <c r="P12" s="40">
        <f t="shared" si="0"/>
        <v>48</v>
      </c>
    </row>
    <row r="13" spans="1:17" s="2" customFormat="1" ht="25.5">
      <c r="A13" s="95" t="s">
        <v>24</v>
      </c>
      <c r="B13" s="153" t="s">
        <v>172</v>
      </c>
      <c r="C13" s="115" t="s">
        <v>170</v>
      </c>
      <c r="D13" s="115" t="s">
        <v>167</v>
      </c>
      <c r="E13" s="115" t="s">
        <v>365</v>
      </c>
      <c r="F13" s="115">
        <v>2198</v>
      </c>
      <c r="G13" s="115">
        <v>6</v>
      </c>
      <c r="H13" s="115">
        <v>2012</v>
      </c>
      <c r="I13" s="115" t="s">
        <v>173</v>
      </c>
      <c r="J13" s="115" t="s">
        <v>245</v>
      </c>
      <c r="K13" s="120" t="s">
        <v>369</v>
      </c>
      <c r="L13" s="115" t="s">
        <v>18</v>
      </c>
      <c r="M13" s="120" t="s">
        <v>369</v>
      </c>
      <c r="N13" s="110" t="s">
        <v>257</v>
      </c>
      <c r="O13" s="40">
        <v>450</v>
      </c>
      <c r="P13" s="40">
        <f t="shared" si="0"/>
        <v>48</v>
      </c>
    </row>
    <row r="14" spans="1:17" s="2" customFormat="1" ht="25.5">
      <c r="A14" s="95" t="s">
        <v>338</v>
      </c>
      <c r="B14" s="153" t="s">
        <v>174</v>
      </c>
      <c r="C14" s="115" t="s">
        <v>170</v>
      </c>
      <c r="D14" s="115" t="s">
        <v>167</v>
      </c>
      <c r="E14" s="115" t="s">
        <v>365</v>
      </c>
      <c r="F14" s="115">
        <v>2198</v>
      </c>
      <c r="G14" s="115">
        <v>6</v>
      </c>
      <c r="H14" s="115">
        <v>2012</v>
      </c>
      <c r="I14" s="115" t="s">
        <v>175</v>
      </c>
      <c r="J14" s="115" t="s">
        <v>245</v>
      </c>
      <c r="K14" s="120" t="s">
        <v>369</v>
      </c>
      <c r="L14" s="115" t="s">
        <v>18</v>
      </c>
      <c r="M14" s="120" t="s">
        <v>369</v>
      </c>
      <c r="N14" s="110" t="s">
        <v>257</v>
      </c>
      <c r="O14" s="40">
        <v>450</v>
      </c>
      <c r="P14" s="40">
        <f t="shared" si="0"/>
        <v>48</v>
      </c>
    </row>
    <row r="15" spans="1:17" s="2" customFormat="1" ht="25.5">
      <c r="A15" s="95" t="s">
        <v>339</v>
      </c>
      <c r="B15" s="153" t="s">
        <v>176</v>
      </c>
      <c r="C15" s="115" t="s">
        <v>177</v>
      </c>
      <c r="D15" s="115"/>
      <c r="E15" s="115" t="s">
        <v>178</v>
      </c>
      <c r="F15" s="115" t="s">
        <v>179</v>
      </c>
      <c r="G15" s="115" t="s">
        <v>18</v>
      </c>
      <c r="H15" s="115">
        <v>2013</v>
      </c>
      <c r="I15" s="115" t="s">
        <v>180</v>
      </c>
      <c r="J15" s="115" t="s">
        <v>245</v>
      </c>
      <c r="K15" s="120" t="s">
        <v>369</v>
      </c>
      <c r="L15" s="115" t="s">
        <v>18</v>
      </c>
      <c r="M15" s="115" t="s">
        <v>18</v>
      </c>
      <c r="N15" s="110" t="s">
        <v>257</v>
      </c>
      <c r="O15" s="40">
        <v>450</v>
      </c>
      <c r="P15" s="40"/>
    </row>
    <row r="16" spans="1:17" s="2" customFormat="1" ht="25.5">
      <c r="A16" s="95" t="s">
        <v>340</v>
      </c>
      <c r="B16" s="153" t="s">
        <v>181</v>
      </c>
      <c r="C16" s="115" t="s">
        <v>182</v>
      </c>
      <c r="D16" s="115" t="s">
        <v>183</v>
      </c>
      <c r="E16" s="115" t="s">
        <v>365</v>
      </c>
      <c r="F16" s="115">
        <v>6871</v>
      </c>
      <c r="G16" s="115">
        <v>6</v>
      </c>
      <c r="H16" s="115">
        <v>2010</v>
      </c>
      <c r="I16" s="115" t="s">
        <v>184</v>
      </c>
      <c r="J16" s="115" t="s">
        <v>245</v>
      </c>
      <c r="K16" s="120" t="s">
        <v>369</v>
      </c>
      <c r="L16" s="115" t="s">
        <v>18</v>
      </c>
      <c r="M16" s="120" t="s">
        <v>369</v>
      </c>
      <c r="N16" s="110" t="s">
        <v>257</v>
      </c>
      <c r="O16" s="40">
        <v>450</v>
      </c>
      <c r="P16" s="40">
        <f t="shared" si="0"/>
        <v>48</v>
      </c>
    </row>
    <row r="17" spans="1:17" s="2" customFormat="1" ht="25.5">
      <c r="A17" s="95" t="s">
        <v>341</v>
      </c>
      <c r="B17" s="153" t="s">
        <v>247</v>
      </c>
      <c r="C17" s="115" t="s">
        <v>248</v>
      </c>
      <c r="D17" s="115" t="s">
        <v>249</v>
      </c>
      <c r="E17" s="115" t="s">
        <v>250</v>
      </c>
      <c r="F17" s="115">
        <v>2143</v>
      </c>
      <c r="G17" s="115">
        <v>23</v>
      </c>
      <c r="H17" s="115">
        <v>2014</v>
      </c>
      <c r="I17" s="115" t="s">
        <v>251</v>
      </c>
      <c r="J17" s="116">
        <v>86000</v>
      </c>
      <c r="K17" s="117" t="s">
        <v>384</v>
      </c>
      <c r="L17" s="117" t="s">
        <v>384</v>
      </c>
      <c r="M17" s="117" t="s">
        <v>384</v>
      </c>
      <c r="N17" s="110" t="s">
        <v>257</v>
      </c>
      <c r="O17" s="40">
        <v>2000</v>
      </c>
      <c r="P17" s="40">
        <f t="shared" si="0"/>
        <v>184</v>
      </c>
      <c r="Q17" s="124">
        <f>J17*2%</f>
        <v>1720</v>
      </c>
    </row>
    <row r="18" spans="1:17" ht="26.25">
      <c r="A18" s="95" t="s">
        <v>342</v>
      </c>
      <c r="B18" s="154" t="s">
        <v>347</v>
      </c>
      <c r="C18" s="99" t="s">
        <v>150</v>
      </c>
      <c r="D18" s="99">
        <v>3322</v>
      </c>
      <c r="E18" s="99" t="s">
        <v>360</v>
      </c>
      <c r="F18" s="99">
        <v>2417</v>
      </c>
      <c r="G18" s="99">
        <v>9</v>
      </c>
      <c r="H18" s="106" t="s">
        <v>361</v>
      </c>
      <c r="I18" s="112" t="s">
        <v>362</v>
      </c>
      <c r="J18" s="115" t="s">
        <v>245</v>
      </c>
      <c r="K18" s="107" t="s">
        <v>363</v>
      </c>
      <c r="L18" s="47" t="s">
        <v>18</v>
      </c>
      <c r="M18" s="107" t="s">
        <v>363</v>
      </c>
      <c r="N18" s="99" t="s">
        <v>257</v>
      </c>
      <c r="O18" s="39">
        <v>800</v>
      </c>
      <c r="P18" s="40">
        <f t="shared" si="0"/>
        <v>72</v>
      </c>
    </row>
    <row r="19" spans="1:17" ht="26.25">
      <c r="A19" s="95" t="s">
        <v>343</v>
      </c>
      <c r="B19" s="155" t="s">
        <v>349</v>
      </c>
      <c r="C19" s="100" t="s">
        <v>182</v>
      </c>
      <c r="D19" s="100" t="s">
        <v>364</v>
      </c>
      <c r="E19" s="100" t="s">
        <v>365</v>
      </c>
      <c r="F19" s="108">
        <v>6871</v>
      </c>
      <c r="G19" s="108">
        <v>6</v>
      </c>
      <c r="H19" s="109" t="s">
        <v>367</v>
      </c>
      <c r="I19" s="112" t="s">
        <v>366</v>
      </c>
      <c r="J19" s="115" t="s">
        <v>245</v>
      </c>
      <c r="K19" s="110" t="s">
        <v>368</v>
      </c>
      <c r="L19" s="111" t="s">
        <v>18</v>
      </c>
      <c r="M19" s="110" t="s">
        <v>368</v>
      </c>
      <c r="N19" s="99" t="s">
        <v>257</v>
      </c>
      <c r="O19" s="39">
        <v>450</v>
      </c>
      <c r="P19" s="40">
        <f t="shared" si="0"/>
        <v>48</v>
      </c>
    </row>
    <row r="20" spans="1:17" ht="26.25">
      <c r="A20" s="95" t="s">
        <v>344</v>
      </c>
      <c r="B20" s="102" t="s">
        <v>374</v>
      </c>
      <c r="C20" s="118" t="s">
        <v>371</v>
      </c>
      <c r="D20" s="119" t="s">
        <v>372</v>
      </c>
      <c r="E20" s="105" t="s">
        <v>142</v>
      </c>
      <c r="F20" s="112"/>
      <c r="G20" s="112"/>
      <c r="H20" s="113" t="s">
        <v>375</v>
      </c>
      <c r="I20" s="112" t="s">
        <v>373</v>
      </c>
      <c r="J20" s="123">
        <v>60130</v>
      </c>
      <c r="K20" s="114" t="s">
        <v>370</v>
      </c>
      <c r="L20" s="114" t="s">
        <v>370</v>
      </c>
      <c r="M20" s="114" t="s">
        <v>370</v>
      </c>
      <c r="N20" s="99" t="s">
        <v>257</v>
      </c>
      <c r="O20" s="1">
        <v>150</v>
      </c>
      <c r="P20" s="40">
        <f t="shared" si="0"/>
        <v>0</v>
      </c>
      <c r="Q20" s="125">
        <f>J20*2%</f>
        <v>1202.6000000000001</v>
      </c>
    </row>
    <row r="21" spans="1:17" ht="25.5">
      <c r="A21" s="95" t="s">
        <v>345</v>
      </c>
      <c r="B21" s="101" t="s">
        <v>255</v>
      </c>
      <c r="C21" s="101" t="s">
        <v>377</v>
      </c>
      <c r="D21" s="101" t="s">
        <v>376</v>
      </c>
      <c r="E21" s="101" t="s">
        <v>186</v>
      </c>
      <c r="F21" s="102"/>
      <c r="G21" s="101"/>
      <c r="H21" s="101">
        <v>2018</v>
      </c>
      <c r="I21" s="101" t="s">
        <v>382</v>
      </c>
      <c r="J21" s="103" t="s">
        <v>245</v>
      </c>
      <c r="K21" s="104" t="s">
        <v>369</v>
      </c>
      <c r="L21" s="102" t="s">
        <v>18</v>
      </c>
      <c r="M21" s="104" t="s">
        <v>369</v>
      </c>
      <c r="N21" s="99" t="s">
        <v>257</v>
      </c>
      <c r="O21" s="1">
        <v>150</v>
      </c>
      <c r="P21" s="40">
        <f t="shared" si="0"/>
        <v>0</v>
      </c>
    </row>
    <row r="22" spans="1:17" ht="38.25">
      <c r="A22" s="95" t="s">
        <v>346</v>
      </c>
      <c r="B22" s="101" t="s">
        <v>255</v>
      </c>
      <c r="C22" s="101" t="s">
        <v>379</v>
      </c>
      <c r="D22" s="101" t="s">
        <v>378</v>
      </c>
      <c r="E22" s="101" t="s">
        <v>186</v>
      </c>
      <c r="F22" s="102"/>
      <c r="G22" s="101"/>
      <c r="H22" s="101">
        <v>2018</v>
      </c>
      <c r="I22" s="101" t="s">
        <v>383</v>
      </c>
      <c r="J22" s="103" t="s">
        <v>245</v>
      </c>
      <c r="K22" s="104" t="s">
        <v>369</v>
      </c>
      <c r="L22" s="102" t="s">
        <v>18</v>
      </c>
      <c r="M22" s="104" t="s">
        <v>369</v>
      </c>
      <c r="N22" s="99" t="s">
        <v>257</v>
      </c>
      <c r="O22" s="1">
        <v>150</v>
      </c>
      <c r="P22" s="40">
        <f t="shared" si="0"/>
        <v>0</v>
      </c>
    </row>
    <row r="23" spans="1:17" ht="25.5">
      <c r="A23" s="95" t="s">
        <v>348</v>
      </c>
      <c r="B23" s="121" t="s">
        <v>255</v>
      </c>
      <c r="C23" s="121"/>
      <c r="D23" s="121" t="s">
        <v>252</v>
      </c>
      <c r="E23" s="121" t="s">
        <v>185</v>
      </c>
      <c r="F23" s="94"/>
      <c r="G23" s="96"/>
      <c r="H23" s="121">
        <v>1</v>
      </c>
      <c r="I23" s="121" t="s">
        <v>253</v>
      </c>
      <c r="J23" s="115" t="s">
        <v>245</v>
      </c>
      <c r="K23" s="120" t="s">
        <v>369</v>
      </c>
      <c r="L23" s="110" t="s">
        <v>18</v>
      </c>
      <c r="M23" s="120" t="s">
        <v>369</v>
      </c>
      <c r="N23" s="110" t="s">
        <v>256</v>
      </c>
      <c r="O23" s="1">
        <v>150</v>
      </c>
      <c r="P23" s="40">
        <f t="shared" si="0"/>
        <v>0</v>
      </c>
    </row>
    <row r="24" spans="1:17" ht="25.5">
      <c r="A24" s="95" t="s">
        <v>350</v>
      </c>
      <c r="B24" s="121" t="s">
        <v>255</v>
      </c>
      <c r="C24" s="121"/>
      <c r="D24" s="121" t="s">
        <v>381</v>
      </c>
      <c r="E24" s="121" t="s">
        <v>380</v>
      </c>
      <c r="F24" s="97"/>
      <c r="G24" s="96"/>
      <c r="H24" s="121">
        <v>1</v>
      </c>
      <c r="I24" s="121" t="s">
        <v>254</v>
      </c>
      <c r="J24" s="115" t="s">
        <v>245</v>
      </c>
      <c r="K24" s="120" t="s">
        <v>369</v>
      </c>
      <c r="L24" s="110" t="s">
        <v>18</v>
      </c>
      <c r="M24" s="120" t="s">
        <v>369</v>
      </c>
      <c r="N24" s="100" t="s">
        <v>256</v>
      </c>
      <c r="O24" s="1">
        <v>150</v>
      </c>
      <c r="P24" s="40">
        <f t="shared" si="0"/>
        <v>0</v>
      </c>
    </row>
    <row r="25" spans="1:17">
      <c r="I25" s="24"/>
      <c r="O25" s="1">
        <f>SUM(O2:O24)</f>
        <v>10200</v>
      </c>
      <c r="P25" s="1">
        <f>SUM(P2:P24)</f>
        <v>968</v>
      </c>
      <c r="Q25" s="127">
        <f>SUM(Q2:Q24)</f>
        <v>3182.6000000000004</v>
      </c>
    </row>
    <row r="26" spans="1:17">
      <c r="I26" s="24"/>
    </row>
    <row r="27" spans="1:17">
      <c r="I27" s="24"/>
    </row>
    <row r="28" spans="1:17">
      <c r="I28" s="24"/>
      <c r="P28" s="127">
        <f>O25+P25+Q25</f>
        <v>14350.6</v>
      </c>
    </row>
    <row r="29" spans="1:17">
      <c r="I29" s="24"/>
    </row>
    <row r="30" spans="1:17">
      <c r="I30" s="24"/>
    </row>
    <row r="31" spans="1:17">
      <c r="I31" s="24"/>
    </row>
    <row r="32" spans="1:17">
      <c r="I32" s="24"/>
    </row>
    <row r="33" spans="9:9">
      <c r="I33" s="24"/>
    </row>
    <row r="34" spans="9:9">
      <c r="I34" s="24"/>
    </row>
    <row r="35" spans="9:9">
      <c r="I35" s="24"/>
    </row>
    <row r="36" spans="9:9">
      <c r="I36" s="24"/>
    </row>
    <row r="37" spans="9:9">
      <c r="I37" s="24"/>
    </row>
    <row r="38" spans="9:9">
      <c r="I38" s="24"/>
    </row>
    <row r="39" spans="9:9">
      <c r="I39" s="24"/>
    </row>
    <row r="40" spans="9:9">
      <c r="I40" s="24"/>
    </row>
    <row r="41" spans="9:9">
      <c r="I41" s="24"/>
    </row>
    <row r="42" spans="9:9">
      <c r="I42" s="24"/>
    </row>
    <row r="43" spans="9:9">
      <c r="I43" s="24"/>
    </row>
    <row r="44" spans="9:9">
      <c r="I44" s="24"/>
    </row>
    <row r="45" spans="9:9">
      <c r="I45" s="24"/>
    </row>
    <row r="46" spans="9:9">
      <c r="I46" s="24"/>
    </row>
  </sheetData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Ogień </vt:lpstr>
      <vt:lpstr>Elektronika </vt:lpstr>
      <vt:lpstr>Zabezpieczenia</vt:lpstr>
      <vt:lpstr>Komunikacja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AHorecka</cp:lastModifiedBy>
  <cp:lastPrinted>2020-01-17T13:09:50Z</cp:lastPrinted>
  <dcterms:created xsi:type="dcterms:W3CDTF">2014-05-28T12:19:35Z</dcterms:created>
  <dcterms:modified xsi:type="dcterms:W3CDTF">2020-01-24T12:44:56Z</dcterms:modified>
</cp:coreProperties>
</file>